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firstSheet="4" activeTab="9"/>
  </bookViews>
  <sheets>
    <sheet name="Balanço Patrimonial" sheetId="1" r:id="rId1"/>
    <sheet name="DRE" sheetId="2" r:id="rId2"/>
    <sheet name="Questionário" sheetId="22" r:id="rId3"/>
    <sheet name="Demonstrativos Ajustados" sheetId="3" r:id="rId4"/>
    <sheet name="Projeção DRE" sheetId="4" r:id="rId5"/>
    <sheet name="Projeção NCG" sheetId="5" r:id="rId6"/>
    <sheet name="Projeção Imobilizado" sheetId="6" r:id="rId7"/>
    <sheet name="Proj. FC" sheetId="7" r:id="rId8"/>
    <sheet name="DRE Proj Comlpleta" sheetId="8" r:id="rId9"/>
    <sheet name="Q8" sheetId="10" r:id="rId10"/>
    <sheet name="Q9" sheetId="11" r:id="rId11"/>
    <sheet name="Q10" sheetId="12" r:id="rId12"/>
    <sheet name="Q11" sheetId="13" r:id="rId13"/>
    <sheet name="Q12" sheetId="14" r:id="rId14"/>
    <sheet name="Q13" sheetId="15" r:id="rId15"/>
    <sheet name="Q14" sheetId="16" r:id="rId16"/>
    <sheet name="Q15" sheetId="17" r:id="rId17"/>
    <sheet name="Q16" sheetId="18" r:id="rId18"/>
    <sheet name="Q17" sheetId="19" r:id="rId19"/>
    <sheet name="Q18" sheetId="20" r:id="rId20"/>
    <sheet name="Q19" sheetId="21" r:id="rId21"/>
  </sheets>
  <externalReferences>
    <externalReference r:id="rId22"/>
    <externalReference r:id="rId23"/>
    <externalReference r:id="rId24"/>
    <externalReference r:id="rId25"/>
  </externalReferences>
  <definedNames>
    <definedName name="_GoBack" localSheetId="2">Questionário!$B$186</definedName>
    <definedName name="_xlnm.Print_Area" localSheetId="2">Questionário!$A$1:$F$239</definedName>
  </definedNames>
  <calcPr calcId="145621"/>
</workbook>
</file>

<file path=xl/calcChain.xml><?xml version="1.0" encoding="utf-8"?>
<calcChain xmlns="http://schemas.openxmlformats.org/spreadsheetml/2006/main">
  <c r="L5" i="18" l="1"/>
  <c r="K5" i="18"/>
  <c r="J5" i="18"/>
  <c r="I5" i="18"/>
  <c r="H5" i="18"/>
  <c r="G5" i="18"/>
  <c r="F5" i="18"/>
  <c r="E5" i="18"/>
  <c r="D5" i="18"/>
  <c r="C5" i="18"/>
  <c r="B5" i="18"/>
  <c r="L4" i="18"/>
  <c r="K4" i="18"/>
  <c r="J4" i="18"/>
  <c r="I4" i="18"/>
  <c r="H4" i="18"/>
  <c r="G4" i="18"/>
  <c r="F4" i="18"/>
  <c r="E4" i="18"/>
  <c r="D4" i="18"/>
  <c r="C4" i="18"/>
  <c r="B4" i="18"/>
  <c r="L3" i="18"/>
  <c r="K3" i="18"/>
  <c r="J3" i="18"/>
  <c r="I3" i="18"/>
  <c r="H3" i="18"/>
  <c r="G3" i="18"/>
  <c r="F3" i="18"/>
  <c r="E3" i="18"/>
  <c r="D3" i="18"/>
  <c r="C3" i="18"/>
  <c r="B3" i="18"/>
  <c r="L2" i="18"/>
  <c r="K2" i="18"/>
  <c r="J2" i="18"/>
  <c r="I2" i="18"/>
  <c r="H2" i="18"/>
  <c r="G2" i="18"/>
  <c r="F2" i="18"/>
  <c r="E2" i="18"/>
  <c r="D2" i="18"/>
  <c r="C2" i="18"/>
  <c r="B2" i="18"/>
  <c r="F5" i="17" l="1"/>
  <c r="E5" i="17"/>
  <c r="D5" i="17"/>
  <c r="C5" i="17"/>
  <c r="F4" i="17"/>
  <c r="E4" i="17"/>
  <c r="D4" i="17"/>
  <c r="C4" i="17"/>
  <c r="F3" i="17"/>
  <c r="E3" i="17"/>
  <c r="D3" i="17"/>
  <c r="C3" i="17"/>
  <c r="F2" i="17"/>
  <c r="E2" i="17"/>
  <c r="D2" i="17"/>
  <c r="C14" i="16"/>
  <c r="C13" i="16"/>
  <c r="C15" i="16" s="1"/>
  <c r="C12" i="16"/>
  <c r="B9" i="16"/>
  <c r="F6" i="15"/>
  <c r="B6" i="15"/>
  <c r="F5" i="15"/>
  <c r="F4" i="15"/>
  <c r="E4" i="15"/>
  <c r="D4" i="15"/>
  <c r="C4" i="15"/>
  <c r="F3" i="15"/>
  <c r="E3" i="15"/>
  <c r="D3" i="15"/>
  <c r="D5" i="15" s="1"/>
  <c r="C3" i="15"/>
  <c r="C5" i="15" s="1"/>
  <c r="F2" i="15"/>
  <c r="E2" i="15"/>
  <c r="D2" i="15"/>
  <c r="B2" i="15"/>
  <c r="L8" i="14" l="1"/>
  <c r="K8" i="14"/>
  <c r="J8" i="14"/>
  <c r="I8" i="14"/>
  <c r="H8" i="14"/>
  <c r="G8" i="14"/>
  <c r="F8" i="14"/>
  <c r="E8" i="14"/>
  <c r="D8" i="14"/>
  <c r="C8" i="14"/>
  <c r="L7" i="14"/>
  <c r="K7" i="14"/>
  <c r="J7" i="14"/>
  <c r="I7" i="14"/>
  <c r="H7" i="14"/>
  <c r="G7" i="14"/>
  <c r="F7" i="14"/>
  <c r="E7" i="14"/>
  <c r="D7" i="14"/>
  <c r="C7" i="14"/>
  <c r="L6" i="14"/>
  <c r="K6" i="14"/>
  <c r="J6" i="14"/>
  <c r="I6" i="14"/>
  <c r="H6" i="14"/>
  <c r="G6" i="14"/>
  <c r="F6" i="14"/>
  <c r="E6" i="14"/>
  <c r="D6" i="14"/>
  <c r="C6" i="14"/>
  <c r="B6" i="14"/>
  <c r="L5" i="14"/>
  <c r="K5" i="14"/>
  <c r="J5" i="14"/>
  <c r="I5" i="14"/>
  <c r="H5" i="14"/>
  <c r="G5" i="14"/>
  <c r="F5" i="14"/>
  <c r="E5" i="14"/>
  <c r="D5" i="14"/>
  <c r="C5" i="14"/>
  <c r="B5" i="14"/>
  <c r="L4" i="14"/>
  <c r="K4" i="14"/>
  <c r="J4" i="14"/>
  <c r="I4" i="14"/>
  <c r="H4" i="14"/>
  <c r="G4" i="14"/>
  <c r="F4" i="14"/>
  <c r="E4" i="14"/>
  <c r="D4" i="14"/>
  <c r="C4" i="14"/>
  <c r="L2" i="14"/>
  <c r="K2" i="14"/>
  <c r="J2" i="14"/>
  <c r="I2" i="14"/>
  <c r="H2" i="14"/>
  <c r="G2" i="14"/>
  <c r="F2" i="14"/>
  <c r="E2" i="14"/>
  <c r="D2" i="14"/>
  <c r="C2" i="14"/>
  <c r="B2" i="14"/>
  <c r="M5" i="12"/>
  <c r="L5" i="12"/>
  <c r="K5" i="12"/>
  <c r="J5" i="12"/>
  <c r="I5" i="12"/>
  <c r="H5" i="12"/>
  <c r="G5" i="12"/>
  <c r="F5" i="12"/>
  <c r="E5" i="12"/>
  <c r="D5" i="12"/>
  <c r="C5" i="12"/>
  <c r="B5" i="12"/>
  <c r="M4" i="12"/>
  <c r="L4" i="12"/>
  <c r="K4" i="12"/>
  <c r="J4" i="12"/>
  <c r="I4" i="12"/>
  <c r="H4" i="12"/>
  <c r="G4" i="12"/>
  <c r="F4" i="12"/>
  <c r="E4" i="12"/>
  <c r="D4" i="12"/>
  <c r="C4" i="12"/>
  <c r="B4" i="12"/>
  <c r="M3" i="12"/>
  <c r="L3" i="12"/>
  <c r="K3" i="12"/>
  <c r="J3" i="12"/>
  <c r="I3" i="12"/>
  <c r="H3" i="12"/>
  <c r="G3" i="12"/>
  <c r="F3" i="12"/>
  <c r="E3" i="12"/>
  <c r="D3" i="12"/>
  <c r="C3" i="12"/>
  <c r="B3" i="12"/>
  <c r="M2" i="12"/>
  <c r="L2" i="12"/>
  <c r="K2" i="12"/>
  <c r="J2" i="12"/>
  <c r="I2" i="12"/>
  <c r="H2" i="12"/>
  <c r="G2" i="12"/>
  <c r="F2" i="12"/>
  <c r="E2" i="12"/>
  <c r="D2" i="12"/>
  <c r="C2" i="12"/>
  <c r="L27" i="11"/>
  <c r="K27" i="11"/>
  <c r="J27" i="11"/>
  <c r="I27" i="11"/>
  <c r="H27" i="11"/>
  <c r="G27" i="11"/>
  <c r="F27" i="11"/>
  <c r="E27" i="11"/>
  <c r="D27" i="11"/>
  <c r="C27" i="11"/>
  <c r="B27" i="11"/>
  <c r="L25" i="11"/>
  <c r="K25" i="11"/>
  <c r="J25" i="11"/>
  <c r="I25" i="11"/>
  <c r="H25" i="11"/>
  <c r="G25" i="11"/>
  <c r="F25" i="11"/>
  <c r="E25" i="11"/>
  <c r="D25" i="11"/>
  <c r="C25" i="11"/>
  <c r="B25" i="11"/>
  <c r="L24" i="11"/>
  <c r="K24" i="11"/>
  <c r="J24" i="11"/>
  <c r="I24" i="11"/>
  <c r="H24" i="11"/>
  <c r="G24" i="11"/>
  <c r="F24" i="11"/>
  <c r="E24" i="11"/>
  <c r="D24" i="11"/>
  <c r="C24" i="11"/>
  <c r="B24" i="11"/>
  <c r="L23" i="11"/>
  <c r="K23" i="11"/>
  <c r="J23" i="11"/>
  <c r="I23" i="11"/>
  <c r="H23" i="11"/>
  <c r="G23" i="11"/>
  <c r="F23" i="11"/>
  <c r="E23" i="11"/>
  <c r="D23" i="11"/>
  <c r="C23" i="11"/>
  <c r="B23" i="11"/>
  <c r="L21" i="11"/>
  <c r="K21" i="11"/>
  <c r="J21" i="11"/>
  <c r="I21" i="11"/>
  <c r="H21" i="11"/>
  <c r="G21" i="11"/>
  <c r="F21" i="11"/>
  <c r="E21" i="11"/>
  <c r="D21" i="11"/>
  <c r="C21" i="11"/>
  <c r="B21" i="11"/>
  <c r="L19" i="11"/>
  <c r="K19" i="11"/>
  <c r="J19" i="11"/>
  <c r="I19" i="11"/>
  <c r="H19" i="11"/>
  <c r="G19" i="11"/>
  <c r="F19" i="11"/>
  <c r="E19" i="11"/>
  <c r="D19" i="11"/>
  <c r="C19" i="11"/>
  <c r="B19" i="11"/>
  <c r="L18" i="11"/>
  <c r="K18" i="11"/>
  <c r="J18" i="11"/>
  <c r="I18" i="11"/>
  <c r="H18" i="11"/>
  <c r="G18" i="11"/>
  <c r="F18" i="11"/>
  <c r="E18" i="11"/>
  <c r="D18" i="11"/>
  <c r="C18" i="11"/>
  <c r="B18" i="11"/>
  <c r="L17" i="11"/>
  <c r="K17" i="11"/>
  <c r="J17" i="11"/>
  <c r="I17" i="11"/>
  <c r="H17" i="11"/>
  <c r="G17" i="11"/>
  <c r="F17" i="11"/>
  <c r="E17" i="11"/>
  <c r="D17" i="11"/>
  <c r="C17" i="11"/>
  <c r="B17" i="11"/>
  <c r="L16" i="11"/>
  <c r="K16" i="11"/>
  <c r="J16" i="11"/>
  <c r="I16" i="11"/>
  <c r="H16" i="11"/>
  <c r="G16" i="11"/>
  <c r="F16" i="11"/>
  <c r="E16" i="11"/>
  <c r="D16" i="11"/>
  <c r="C16" i="11"/>
  <c r="B16" i="11"/>
  <c r="L15" i="11"/>
  <c r="K15" i="11"/>
  <c r="J15" i="11"/>
  <c r="I15" i="11"/>
  <c r="H15" i="11"/>
  <c r="G15" i="11"/>
  <c r="F15" i="11"/>
  <c r="E15" i="11"/>
  <c r="D15" i="11"/>
  <c r="C15" i="11"/>
  <c r="B15" i="11"/>
  <c r="L14" i="11"/>
  <c r="K14" i="11"/>
  <c r="J14" i="11"/>
  <c r="I14" i="11"/>
  <c r="H14" i="11"/>
  <c r="G14" i="11"/>
  <c r="F14" i="11"/>
  <c r="E14" i="11"/>
  <c r="D14" i="11"/>
  <c r="C14" i="11"/>
  <c r="B14" i="11"/>
  <c r="L13" i="11"/>
  <c r="K13" i="11"/>
  <c r="J13" i="11"/>
  <c r="I13" i="11"/>
  <c r="H13" i="11"/>
  <c r="G13" i="11"/>
  <c r="F13" i="11"/>
  <c r="E13" i="11"/>
  <c r="D13" i="11"/>
  <c r="C13" i="11"/>
  <c r="B13" i="11"/>
  <c r="L12" i="11"/>
  <c r="K12" i="11"/>
  <c r="J12" i="11"/>
  <c r="I12" i="11"/>
  <c r="H12" i="11"/>
  <c r="G12" i="11"/>
  <c r="F12" i="11"/>
  <c r="E12" i="11"/>
  <c r="D12" i="11"/>
  <c r="C12" i="11"/>
  <c r="B12" i="11"/>
  <c r="L10" i="11"/>
  <c r="K10" i="11"/>
  <c r="J10" i="11"/>
  <c r="I10" i="11"/>
  <c r="H10" i="11"/>
  <c r="G10" i="11"/>
  <c r="F10" i="11"/>
  <c r="E10" i="11"/>
  <c r="D10" i="11"/>
  <c r="C10" i="11"/>
  <c r="B10" i="11"/>
  <c r="L8" i="11"/>
  <c r="K8" i="11"/>
  <c r="J8" i="11"/>
  <c r="I8" i="11"/>
  <c r="H8" i="11"/>
  <c r="G8" i="11"/>
  <c r="F8" i="11"/>
  <c r="E8" i="11"/>
  <c r="D8" i="11"/>
  <c r="C8" i="11"/>
  <c r="B8" i="11"/>
  <c r="L7" i="11"/>
  <c r="K7" i="11"/>
  <c r="J7" i="11"/>
  <c r="I7" i="11"/>
  <c r="H7" i="11"/>
  <c r="G7" i="11"/>
  <c r="F7" i="11"/>
  <c r="E7" i="11"/>
  <c r="D7" i="11"/>
  <c r="C7" i="11"/>
  <c r="B7" i="11"/>
  <c r="L6" i="11"/>
  <c r="K6" i="11"/>
  <c r="J6" i="11"/>
  <c r="I6" i="11"/>
  <c r="H6" i="11"/>
  <c r="G6" i="11"/>
  <c r="F6" i="11"/>
  <c r="E6" i="11"/>
  <c r="D6" i="11"/>
  <c r="C6" i="11"/>
  <c r="B6" i="11"/>
  <c r="L4" i="11"/>
  <c r="K4" i="11"/>
  <c r="J4" i="11"/>
  <c r="I4" i="11"/>
  <c r="H4" i="11"/>
  <c r="G4" i="11"/>
  <c r="F4" i="11"/>
  <c r="E4" i="11"/>
  <c r="D4" i="11"/>
  <c r="C4" i="11"/>
  <c r="B4" i="11"/>
  <c r="L2" i="11"/>
  <c r="K2" i="11"/>
  <c r="J2" i="11"/>
  <c r="I2" i="11"/>
  <c r="H2" i="11"/>
  <c r="G2" i="11"/>
  <c r="F2" i="11"/>
  <c r="E2" i="11"/>
  <c r="D2" i="11"/>
  <c r="C2" i="11"/>
  <c r="B2" i="11"/>
  <c r="L13" i="7"/>
  <c r="K13" i="7"/>
  <c r="J13" i="7"/>
  <c r="I13" i="7"/>
  <c r="H13" i="7"/>
  <c r="G13" i="7"/>
  <c r="F13" i="7"/>
  <c r="E13" i="7"/>
  <c r="D13" i="7"/>
  <c r="C13" i="7"/>
  <c r="L12" i="7"/>
  <c r="K12" i="7"/>
  <c r="J12" i="7"/>
  <c r="I12" i="7"/>
  <c r="H12" i="7"/>
  <c r="G12" i="7"/>
  <c r="F12" i="7"/>
  <c r="E12" i="7"/>
  <c r="D12" i="7"/>
  <c r="C12" i="7"/>
  <c r="L11" i="7"/>
  <c r="K11" i="7"/>
  <c r="J11" i="7"/>
  <c r="I11" i="7"/>
  <c r="H11" i="7"/>
  <c r="G11" i="7"/>
  <c r="F11" i="7"/>
  <c r="E11" i="7"/>
  <c r="D11" i="7"/>
  <c r="C11" i="7"/>
  <c r="L8" i="7"/>
  <c r="K8" i="7"/>
  <c r="J8" i="7"/>
  <c r="I8" i="7"/>
  <c r="H8" i="7"/>
  <c r="G8" i="7"/>
  <c r="F8" i="7"/>
  <c r="E8" i="7"/>
  <c r="D8" i="7"/>
  <c r="C8" i="7"/>
  <c r="L7" i="7"/>
  <c r="K7" i="7"/>
  <c r="J7" i="7"/>
  <c r="I7" i="7"/>
  <c r="H7" i="7"/>
  <c r="G7" i="7"/>
  <c r="F7" i="7"/>
  <c r="E7" i="7"/>
  <c r="D7" i="7"/>
  <c r="C7" i="7"/>
  <c r="L6" i="7"/>
  <c r="K6" i="7"/>
  <c r="J6" i="7"/>
  <c r="I6" i="7"/>
  <c r="H6" i="7"/>
  <c r="G6" i="7"/>
  <c r="F6" i="7"/>
  <c r="E6" i="7"/>
  <c r="D6" i="7"/>
  <c r="C6" i="7"/>
  <c r="L5" i="7"/>
  <c r="L10" i="7" s="1"/>
  <c r="L14" i="7" s="1"/>
  <c r="K5" i="7"/>
  <c r="K10" i="7" s="1"/>
  <c r="K14" i="7" s="1"/>
  <c r="J5" i="7"/>
  <c r="J10" i="7" s="1"/>
  <c r="J14" i="7" s="1"/>
  <c r="I5" i="7"/>
  <c r="I10" i="7" s="1"/>
  <c r="I14" i="7" s="1"/>
  <c r="H5" i="7"/>
  <c r="H10" i="7" s="1"/>
  <c r="H14" i="7" s="1"/>
  <c r="G5" i="7"/>
  <c r="G10" i="7" s="1"/>
  <c r="G14" i="7" s="1"/>
  <c r="F5" i="7"/>
  <c r="F10" i="7" s="1"/>
  <c r="F14" i="7" s="1"/>
  <c r="E5" i="7"/>
  <c r="E10" i="7" s="1"/>
  <c r="E14" i="7" s="1"/>
  <c r="D5" i="7"/>
  <c r="D10" i="7" s="1"/>
  <c r="D14" i="7" s="1"/>
  <c r="C5" i="7"/>
  <c r="C10" i="7" s="1"/>
  <c r="C14" i="7" s="1"/>
  <c r="D6" i="6"/>
  <c r="E6" i="6" s="1"/>
  <c r="D12" i="5"/>
  <c r="E12" i="5" s="1"/>
  <c r="F12" i="5" s="1"/>
  <c r="G12" i="5" s="1"/>
  <c r="H12" i="5" s="1"/>
  <c r="I12" i="5" s="1"/>
  <c r="J12" i="5" s="1"/>
  <c r="K12" i="5" s="1"/>
  <c r="L12" i="5" s="1"/>
  <c r="M12" i="5" s="1"/>
  <c r="M11" i="5"/>
  <c r="L11" i="5"/>
  <c r="K11" i="5"/>
  <c r="J11" i="5"/>
  <c r="I11" i="5"/>
  <c r="H11" i="5"/>
  <c r="G11" i="5"/>
  <c r="F11" i="5"/>
  <c r="E11" i="5"/>
  <c r="D11" i="5"/>
  <c r="D10" i="5"/>
  <c r="E10" i="5" s="1"/>
  <c r="C9" i="5"/>
  <c r="D6" i="5"/>
  <c r="E6" i="5" s="1"/>
  <c r="F6" i="5" s="1"/>
  <c r="G6" i="5" s="1"/>
  <c r="H6" i="5" s="1"/>
  <c r="I6" i="5" s="1"/>
  <c r="J6" i="5" s="1"/>
  <c r="K6" i="5" s="1"/>
  <c r="L6" i="5" s="1"/>
  <c r="M6" i="5" s="1"/>
  <c r="D5" i="5"/>
  <c r="E5" i="5" s="1"/>
  <c r="D4" i="5"/>
  <c r="C4" i="5"/>
  <c r="C8" i="4"/>
  <c r="C12" i="4"/>
  <c r="C11" i="4" s="1"/>
  <c r="C19" i="4"/>
  <c r="C20" i="4"/>
  <c r="C18" i="4" s="1"/>
  <c r="C23" i="4"/>
  <c r="C24" i="4"/>
  <c r="C25" i="4"/>
  <c r="C32" i="4"/>
  <c r="C37" i="4"/>
  <c r="C44" i="4"/>
  <c r="M44" i="4"/>
  <c r="L44" i="4"/>
  <c r="K44" i="4"/>
  <c r="J44" i="4"/>
  <c r="I44" i="4"/>
  <c r="H44" i="4"/>
  <c r="G44" i="4"/>
  <c r="F44" i="4"/>
  <c r="E44" i="4"/>
  <c r="D44" i="4"/>
  <c r="D34" i="4"/>
  <c r="E34" i="4" s="1"/>
  <c r="F34" i="4" s="1"/>
  <c r="G34" i="4" s="1"/>
  <c r="H34" i="4" s="1"/>
  <c r="I34" i="4" s="1"/>
  <c r="J34" i="4" s="1"/>
  <c r="K34" i="4" s="1"/>
  <c r="L34" i="4" s="1"/>
  <c r="M34" i="4" s="1"/>
  <c r="D33" i="4"/>
  <c r="E33" i="4" s="1"/>
  <c r="E32" i="4" s="1"/>
  <c r="M30" i="4"/>
  <c r="L30" i="4"/>
  <c r="K30" i="4"/>
  <c r="J30" i="4"/>
  <c r="I30" i="4"/>
  <c r="H30" i="4"/>
  <c r="G30" i="4"/>
  <c r="F30" i="4"/>
  <c r="E30" i="4"/>
  <c r="D30" i="4"/>
  <c r="D29" i="4"/>
  <c r="E29" i="4" s="1"/>
  <c r="F29" i="4" s="1"/>
  <c r="G29" i="4" s="1"/>
  <c r="H29" i="4" s="1"/>
  <c r="I29" i="4" s="1"/>
  <c r="J29" i="4" s="1"/>
  <c r="K29" i="4" s="1"/>
  <c r="L29" i="4" s="1"/>
  <c r="M29" i="4" s="1"/>
  <c r="D25" i="4"/>
  <c r="E25" i="4" s="1"/>
  <c r="D23" i="4"/>
  <c r="E23" i="4" s="1"/>
  <c r="F23" i="4" s="1"/>
  <c r="G23" i="4" s="1"/>
  <c r="H23" i="4" s="1"/>
  <c r="I23" i="4" s="1"/>
  <c r="J23" i="4" s="1"/>
  <c r="K23" i="4" s="1"/>
  <c r="L23" i="4" s="1"/>
  <c r="M23" i="4" s="1"/>
  <c r="M22" i="4"/>
  <c r="L22" i="4"/>
  <c r="K22" i="4"/>
  <c r="J22" i="4"/>
  <c r="I22" i="4"/>
  <c r="H22" i="4"/>
  <c r="G22" i="4"/>
  <c r="F22" i="4"/>
  <c r="E22" i="4"/>
  <c r="D22" i="4"/>
  <c r="D21" i="4"/>
  <c r="E21" i="4" s="1"/>
  <c r="F21" i="4" s="1"/>
  <c r="G21" i="4" s="1"/>
  <c r="H21" i="4" s="1"/>
  <c r="I21" i="4" s="1"/>
  <c r="J21" i="4" s="1"/>
  <c r="K21" i="4" s="1"/>
  <c r="L21" i="4" s="1"/>
  <c r="M21" i="4" s="1"/>
  <c r="D19" i="4"/>
  <c r="E19" i="4" s="1"/>
  <c r="M13" i="4"/>
  <c r="L13" i="4"/>
  <c r="K13" i="4"/>
  <c r="J13" i="4"/>
  <c r="I13" i="4"/>
  <c r="H13" i="4"/>
  <c r="G13" i="4"/>
  <c r="F13" i="4"/>
  <c r="E13" i="4"/>
  <c r="D13" i="4"/>
  <c r="D12" i="4"/>
  <c r="D4" i="4"/>
  <c r="E9" i="6" l="1"/>
  <c r="E7" i="6"/>
  <c r="F6" i="6"/>
  <c r="D7" i="6"/>
  <c r="D9" i="6"/>
  <c r="F10" i="5"/>
  <c r="G10" i="5" s="1"/>
  <c r="E9" i="5"/>
  <c r="D9" i="5"/>
  <c r="D14" i="5" s="1"/>
  <c r="D15" i="5" s="1"/>
  <c r="C14" i="5"/>
  <c r="E4" i="5"/>
  <c r="E14" i="5" s="1"/>
  <c r="F5" i="5"/>
  <c r="F9" i="5"/>
  <c r="C17" i="4"/>
  <c r="D20" i="4"/>
  <c r="E20" i="4" s="1"/>
  <c r="F20" i="4" s="1"/>
  <c r="G20" i="4" s="1"/>
  <c r="H20" i="4" s="1"/>
  <c r="I20" i="4" s="1"/>
  <c r="J20" i="4" s="1"/>
  <c r="K20" i="4" s="1"/>
  <c r="L20" i="4" s="1"/>
  <c r="M20" i="4" s="1"/>
  <c r="C7" i="4"/>
  <c r="C15" i="4" s="1"/>
  <c r="C42" i="4" s="1"/>
  <c r="C48" i="4" s="1"/>
  <c r="D39" i="4"/>
  <c r="D31" i="4"/>
  <c r="D28" i="4"/>
  <c r="E28" i="4" s="1"/>
  <c r="F28" i="4" s="1"/>
  <c r="G28" i="4" s="1"/>
  <c r="H28" i="4" s="1"/>
  <c r="I28" i="4" s="1"/>
  <c r="J28" i="4" s="1"/>
  <c r="K28" i="4" s="1"/>
  <c r="L28" i="4" s="1"/>
  <c r="M28" i="4" s="1"/>
  <c r="D27" i="4"/>
  <c r="D26" i="4"/>
  <c r="D24" i="4" s="1"/>
  <c r="D36" i="4"/>
  <c r="E4" i="4"/>
  <c r="D35" i="4"/>
  <c r="D10" i="4"/>
  <c r="E12" i="4"/>
  <c r="D11" i="4"/>
  <c r="D9" i="4"/>
  <c r="D14" i="4"/>
  <c r="F19" i="4"/>
  <c r="E18" i="4"/>
  <c r="F25" i="4"/>
  <c r="D32" i="4"/>
  <c r="F33" i="4"/>
  <c r="D13" i="6" l="1"/>
  <c r="D12" i="6"/>
  <c r="D11" i="6"/>
  <c r="D8" i="6"/>
  <c r="E8" i="6" s="1"/>
  <c r="E13" i="6"/>
  <c r="E12" i="6"/>
  <c r="E11" i="6"/>
  <c r="G6" i="6"/>
  <c r="F9" i="6"/>
  <c r="F7" i="6"/>
  <c r="E15" i="5"/>
  <c r="H10" i="5"/>
  <c r="G9" i="5"/>
  <c r="G5" i="5"/>
  <c r="F4" i="5"/>
  <c r="F14" i="5" s="1"/>
  <c r="F15" i="5" s="1"/>
  <c r="D18" i="4"/>
  <c r="D8" i="4"/>
  <c r="D7" i="4" s="1"/>
  <c r="D15" i="4" s="1"/>
  <c r="G25" i="4"/>
  <c r="E36" i="4"/>
  <c r="E35" i="4"/>
  <c r="E31" i="4"/>
  <c r="E27" i="4"/>
  <c r="E14" i="4"/>
  <c r="E10" i="4"/>
  <c r="E9" i="4"/>
  <c r="E8" i="4" s="1"/>
  <c r="E26" i="4"/>
  <c r="F4" i="4"/>
  <c r="G33" i="4"/>
  <c r="F32" i="4"/>
  <c r="G19" i="4"/>
  <c r="F18" i="4"/>
  <c r="F12" i="4"/>
  <c r="E11" i="4"/>
  <c r="D37" i="4"/>
  <c r="D17" i="4" s="1"/>
  <c r="E39" i="4"/>
  <c r="F13" i="6" l="1"/>
  <c r="F12" i="6"/>
  <c r="F11" i="6"/>
  <c r="G9" i="6"/>
  <c r="G7" i="6"/>
  <c r="H6" i="6"/>
  <c r="F8" i="6"/>
  <c r="G8" i="6" s="1"/>
  <c r="G14" i="5"/>
  <c r="G15" i="5" s="1"/>
  <c r="G4" i="5"/>
  <c r="H5" i="5"/>
  <c r="H9" i="5"/>
  <c r="I10" i="5"/>
  <c r="D42" i="4"/>
  <c r="D48" i="4" s="1"/>
  <c r="G12" i="4"/>
  <c r="F11" i="4"/>
  <c r="H19" i="4"/>
  <c r="G18" i="4"/>
  <c r="F31" i="4"/>
  <c r="F27" i="4"/>
  <c r="F26" i="4"/>
  <c r="F35" i="4"/>
  <c r="G4" i="4"/>
  <c r="F36" i="4"/>
  <c r="F10" i="4"/>
  <c r="F14" i="4"/>
  <c r="F9" i="4"/>
  <c r="F8" i="4" s="1"/>
  <c r="F7" i="4" s="1"/>
  <c r="F15" i="4" s="1"/>
  <c r="E24" i="4"/>
  <c r="F39" i="4"/>
  <c r="E37" i="4"/>
  <c r="G32" i="4"/>
  <c r="H33" i="4"/>
  <c r="E7" i="4"/>
  <c r="E15" i="4" s="1"/>
  <c r="H25" i="4"/>
  <c r="I6" i="6" l="1"/>
  <c r="H9" i="6"/>
  <c r="H7" i="6"/>
  <c r="H8" i="6" s="1"/>
  <c r="G13" i="6"/>
  <c r="G12" i="6"/>
  <c r="G11" i="6"/>
  <c r="J10" i="5"/>
  <c r="I9" i="5"/>
  <c r="I5" i="5"/>
  <c r="H4" i="5"/>
  <c r="H14" i="5" s="1"/>
  <c r="H15" i="5" s="1"/>
  <c r="F24" i="4"/>
  <c r="I25" i="4"/>
  <c r="I33" i="4"/>
  <c r="H32" i="4"/>
  <c r="F37" i="4"/>
  <c r="F17" i="4" s="1"/>
  <c r="F42" i="4" s="1"/>
  <c r="F48" i="4" s="1"/>
  <c r="G39" i="4"/>
  <c r="G36" i="4"/>
  <c r="G35" i="4"/>
  <c r="G26" i="4"/>
  <c r="G14" i="4"/>
  <c r="G10" i="4"/>
  <c r="G9" i="4"/>
  <c r="G31" i="4"/>
  <c r="G27" i="4"/>
  <c r="H4" i="4"/>
  <c r="E17" i="4"/>
  <c r="E42" i="4" s="1"/>
  <c r="E48" i="4" s="1"/>
  <c r="I19" i="4"/>
  <c r="H18" i="4"/>
  <c r="G11" i="4"/>
  <c r="H12" i="4"/>
  <c r="H13" i="6" l="1"/>
  <c r="H12" i="6"/>
  <c r="H11" i="6"/>
  <c r="I9" i="6"/>
  <c r="I7" i="6"/>
  <c r="J6" i="6"/>
  <c r="I4" i="5"/>
  <c r="J5" i="5"/>
  <c r="J9" i="5"/>
  <c r="K10" i="5"/>
  <c r="I14" i="5"/>
  <c r="I15" i="5" s="1"/>
  <c r="G8" i="4"/>
  <c r="J19" i="4"/>
  <c r="I18" i="4"/>
  <c r="G24" i="4"/>
  <c r="I32" i="4"/>
  <c r="J33" i="4"/>
  <c r="J25" i="4"/>
  <c r="I12" i="4"/>
  <c r="H11" i="4"/>
  <c r="H31" i="4"/>
  <c r="H27" i="4"/>
  <c r="H26" i="4"/>
  <c r="H36" i="4"/>
  <c r="I4" i="4"/>
  <c r="H35" i="4"/>
  <c r="H14" i="4"/>
  <c r="H9" i="4"/>
  <c r="H10" i="4"/>
  <c r="G7" i="4"/>
  <c r="G15" i="4" s="1"/>
  <c r="H39" i="4"/>
  <c r="G37" i="4"/>
  <c r="I13" i="6" l="1"/>
  <c r="I12" i="6"/>
  <c r="I11" i="6"/>
  <c r="K6" i="6"/>
  <c r="J9" i="6"/>
  <c r="J7" i="6"/>
  <c r="I8" i="6"/>
  <c r="L10" i="5"/>
  <c r="K9" i="5"/>
  <c r="K5" i="5"/>
  <c r="J4" i="5"/>
  <c r="J14" i="5" s="1"/>
  <c r="J15" i="5" s="1"/>
  <c r="H8" i="4"/>
  <c r="H7" i="4" s="1"/>
  <c r="H15" i="4" s="1"/>
  <c r="H24" i="4"/>
  <c r="H37" i="4"/>
  <c r="I39" i="4"/>
  <c r="I36" i="4"/>
  <c r="I35" i="4"/>
  <c r="I31" i="4"/>
  <c r="I27" i="4"/>
  <c r="I14" i="4"/>
  <c r="I10" i="4"/>
  <c r="I9" i="4"/>
  <c r="I26" i="4"/>
  <c r="I24" i="4" s="1"/>
  <c r="J4" i="4"/>
  <c r="J12" i="4"/>
  <c r="I11" i="4"/>
  <c r="K25" i="4"/>
  <c r="K33" i="4"/>
  <c r="J32" i="4"/>
  <c r="G17" i="4"/>
  <c r="G42" i="4" s="1"/>
  <c r="G48" i="4" s="1"/>
  <c r="K19" i="4"/>
  <c r="J18" i="4"/>
  <c r="J8" i="6" l="1"/>
  <c r="K8" i="6" s="1"/>
  <c r="J13" i="6"/>
  <c r="J12" i="6"/>
  <c r="J11" i="6"/>
  <c r="K9" i="6"/>
  <c r="K7" i="6"/>
  <c r="L6" i="6"/>
  <c r="K4" i="5"/>
  <c r="K14" i="5" s="1"/>
  <c r="K15" i="5" s="1"/>
  <c r="L5" i="5"/>
  <c r="L9" i="5"/>
  <c r="M10" i="5"/>
  <c r="M9" i="5" s="1"/>
  <c r="I8" i="4"/>
  <c r="H17" i="4"/>
  <c r="H42" i="4" s="1"/>
  <c r="H48" i="4" s="1"/>
  <c r="L19" i="4"/>
  <c r="K18" i="4"/>
  <c r="L25" i="4"/>
  <c r="J31" i="4"/>
  <c r="J27" i="4"/>
  <c r="J26" i="4"/>
  <c r="J35" i="4"/>
  <c r="K4" i="4"/>
  <c r="J36" i="4"/>
  <c r="J10" i="4"/>
  <c r="J14" i="4"/>
  <c r="J9" i="4"/>
  <c r="J8" i="4" s="1"/>
  <c r="J39" i="4"/>
  <c r="I37" i="4"/>
  <c r="I17" i="4" s="1"/>
  <c r="K32" i="4"/>
  <c r="L33" i="4"/>
  <c r="K12" i="4"/>
  <c r="J11" i="4"/>
  <c r="I7" i="4"/>
  <c r="I15" i="4" s="1"/>
  <c r="M6" i="6" l="1"/>
  <c r="L9" i="6"/>
  <c r="L7" i="6"/>
  <c r="L8" i="6" s="1"/>
  <c r="K13" i="6"/>
  <c r="K12" i="6"/>
  <c r="K11" i="6"/>
  <c r="M5" i="5"/>
  <c r="M4" i="5" s="1"/>
  <c r="M14" i="5" s="1"/>
  <c r="L4" i="5"/>
  <c r="L14" i="5" s="1"/>
  <c r="L15" i="5" s="1"/>
  <c r="I42" i="4"/>
  <c r="I48" i="4" s="1"/>
  <c r="J24" i="4"/>
  <c r="K11" i="4"/>
  <c r="L12" i="4"/>
  <c r="J7" i="4"/>
  <c r="J15" i="4" s="1"/>
  <c r="K36" i="4"/>
  <c r="K35" i="4"/>
  <c r="K26" i="4"/>
  <c r="K14" i="4"/>
  <c r="K10" i="4"/>
  <c r="K9" i="4"/>
  <c r="K31" i="4"/>
  <c r="K27" i="4"/>
  <c r="L4" i="4"/>
  <c r="M33" i="4"/>
  <c r="M32" i="4" s="1"/>
  <c r="L32" i="4"/>
  <c r="J37" i="4"/>
  <c r="K39" i="4"/>
  <c r="M25" i="4"/>
  <c r="M19" i="4"/>
  <c r="M18" i="4" s="1"/>
  <c r="L18" i="4"/>
  <c r="L13" i="6" l="1"/>
  <c r="L12" i="6"/>
  <c r="L11" i="6"/>
  <c r="M9" i="6"/>
  <c r="M7" i="6"/>
  <c r="M15" i="5"/>
  <c r="J17" i="4"/>
  <c r="L39" i="4"/>
  <c r="K37" i="4"/>
  <c r="K24" i="4"/>
  <c r="M12" i="4"/>
  <c r="M11" i="4" s="1"/>
  <c r="L11" i="4"/>
  <c r="L31" i="4"/>
  <c r="L27" i="4"/>
  <c r="L26" i="4"/>
  <c r="L36" i="4"/>
  <c r="M4" i="4"/>
  <c r="L35" i="4"/>
  <c r="L14" i="4"/>
  <c r="L9" i="4"/>
  <c r="L10" i="4"/>
  <c r="K8" i="4"/>
  <c r="K7" i="4" s="1"/>
  <c r="K15" i="4" s="1"/>
  <c r="J42" i="4"/>
  <c r="J48" i="4" s="1"/>
  <c r="M13" i="6" l="1"/>
  <c r="M12" i="6"/>
  <c r="M11" i="6"/>
  <c r="M8" i="6"/>
  <c r="L24" i="4"/>
  <c r="L8" i="4"/>
  <c r="L7" i="4" s="1"/>
  <c r="L15" i="4" s="1"/>
  <c r="K17" i="4"/>
  <c r="K42" i="4" s="1"/>
  <c r="K48" i="4" s="1"/>
  <c r="M36" i="4"/>
  <c r="M35" i="4"/>
  <c r="M31" i="4"/>
  <c r="M27" i="4"/>
  <c r="M14" i="4"/>
  <c r="M10" i="4"/>
  <c r="M9" i="4"/>
  <c r="M26" i="4"/>
  <c r="L37" i="4"/>
  <c r="L17" i="4" s="1"/>
  <c r="L42" i="4" s="1"/>
  <c r="L48" i="4" s="1"/>
  <c r="M39" i="4"/>
  <c r="M37" i="4" s="1"/>
  <c r="M24" i="4" l="1"/>
  <c r="M8" i="4"/>
  <c r="M7" i="4" s="1"/>
  <c r="M15" i="4" s="1"/>
  <c r="M17" i="4"/>
  <c r="M42" i="4" l="1"/>
  <c r="M48" i="4" s="1"/>
  <c r="I29" i="2" l="1"/>
  <c r="H29" i="2"/>
  <c r="G29" i="2"/>
  <c r="F29" i="2"/>
  <c r="E29" i="2"/>
  <c r="D29" i="2"/>
  <c r="C29" i="2"/>
  <c r="B29" i="2"/>
  <c r="I28" i="2"/>
  <c r="H28" i="2"/>
  <c r="G28" i="2"/>
  <c r="F28" i="2"/>
  <c r="E28" i="2"/>
  <c r="D28" i="2"/>
  <c r="C28" i="2"/>
  <c r="B28" i="2"/>
  <c r="I27" i="2"/>
  <c r="H27" i="2"/>
  <c r="G27" i="2"/>
  <c r="F27" i="2"/>
  <c r="E27" i="2"/>
  <c r="D27" i="2"/>
  <c r="C27" i="2"/>
  <c r="B27" i="2"/>
  <c r="I25" i="2"/>
  <c r="H25" i="2"/>
  <c r="G25" i="2"/>
  <c r="F25" i="2"/>
  <c r="E25" i="2"/>
  <c r="D25" i="2"/>
  <c r="C25" i="2"/>
  <c r="B25" i="2"/>
  <c r="I23" i="2"/>
  <c r="H23" i="2"/>
  <c r="G23" i="2"/>
  <c r="F23" i="2"/>
  <c r="E23" i="2"/>
  <c r="D23" i="2"/>
  <c r="C23" i="2"/>
  <c r="B23" i="2"/>
  <c r="I22" i="2"/>
  <c r="H22" i="2"/>
  <c r="G22" i="2"/>
  <c r="F22" i="2"/>
  <c r="E22" i="2"/>
  <c r="D22" i="2"/>
  <c r="C22" i="2"/>
  <c r="B22" i="2"/>
  <c r="I20" i="2"/>
  <c r="H20" i="2"/>
  <c r="G20" i="2"/>
  <c r="F20" i="2"/>
  <c r="E20" i="2"/>
  <c r="D20" i="2"/>
  <c r="C20" i="2"/>
  <c r="B20" i="2"/>
  <c r="I18" i="2"/>
  <c r="H18" i="2"/>
  <c r="G18" i="2"/>
  <c r="F18" i="2"/>
  <c r="E18" i="2"/>
  <c r="D18" i="2"/>
  <c r="C18" i="2"/>
  <c r="B18" i="2"/>
  <c r="I17" i="2"/>
  <c r="H17" i="2"/>
  <c r="G17" i="2"/>
  <c r="F17" i="2"/>
  <c r="E17" i="2"/>
  <c r="D17" i="2"/>
  <c r="C17" i="2"/>
  <c r="B17" i="2"/>
  <c r="I16" i="2"/>
  <c r="H16" i="2"/>
  <c r="G16" i="2"/>
  <c r="F16" i="2"/>
  <c r="E16" i="2"/>
  <c r="D16" i="2"/>
  <c r="C16" i="2"/>
  <c r="B16" i="2"/>
  <c r="I15" i="2"/>
  <c r="H15" i="2"/>
  <c r="G15" i="2"/>
  <c r="F15" i="2"/>
  <c r="E15" i="2"/>
  <c r="D15" i="2"/>
  <c r="C15" i="2"/>
  <c r="B15" i="2"/>
  <c r="I13" i="2"/>
  <c r="H13" i="2"/>
  <c r="G13" i="2"/>
  <c r="F13" i="2"/>
  <c r="E13" i="2"/>
  <c r="D13" i="2"/>
  <c r="C13" i="2"/>
  <c r="B13" i="2"/>
  <c r="I11" i="2"/>
  <c r="H11" i="2"/>
  <c r="G11" i="2"/>
  <c r="F11" i="2"/>
  <c r="E11" i="2"/>
  <c r="D11" i="2"/>
  <c r="C11" i="2"/>
  <c r="B11" i="2"/>
  <c r="I9" i="2"/>
  <c r="H9" i="2"/>
  <c r="G9" i="2"/>
  <c r="F9" i="2"/>
  <c r="E9" i="2"/>
  <c r="D9" i="2"/>
  <c r="C9" i="2"/>
  <c r="B9" i="2"/>
  <c r="I7" i="2"/>
  <c r="H7" i="2"/>
  <c r="G7" i="2"/>
  <c r="F7" i="2"/>
  <c r="E7" i="2"/>
  <c r="D7" i="2"/>
  <c r="C7" i="2"/>
  <c r="B7" i="2"/>
  <c r="I5" i="2"/>
  <c r="H5" i="2"/>
  <c r="G5" i="2"/>
  <c r="F5" i="2"/>
  <c r="E5" i="2"/>
  <c r="D5" i="2"/>
  <c r="C5" i="2"/>
  <c r="B5" i="2"/>
  <c r="I3" i="2"/>
  <c r="H3" i="2"/>
  <c r="G3" i="2"/>
  <c r="F3" i="2"/>
  <c r="E3" i="2"/>
  <c r="D3" i="2"/>
  <c r="C3" i="2"/>
  <c r="I28" i="1"/>
  <c r="H28" i="1"/>
  <c r="G28" i="1"/>
  <c r="F28" i="1"/>
  <c r="E28" i="1"/>
  <c r="D28" i="1"/>
  <c r="C28" i="1"/>
  <c r="B28" i="1"/>
  <c r="I27" i="1"/>
  <c r="H27" i="1"/>
  <c r="G27" i="1"/>
  <c r="F27" i="1"/>
  <c r="E27" i="1"/>
  <c r="D27" i="1"/>
  <c r="C27" i="1"/>
  <c r="B27" i="1"/>
  <c r="I26" i="1"/>
  <c r="H26" i="1"/>
  <c r="G26" i="1"/>
  <c r="F26" i="1"/>
  <c r="E26" i="1"/>
  <c r="D26" i="1"/>
  <c r="C26" i="1"/>
  <c r="B26" i="1"/>
  <c r="I25" i="1"/>
  <c r="H25" i="1"/>
  <c r="G25" i="1"/>
  <c r="F25" i="1"/>
  <c r="E25" i="1"/>
  <c r="D25" i="1"/>
  <c r="C25" i="1"/>
  <c r="B25" i="1"/>
  <c r="I24" i="1"/>
  <c r="H24" i="1"/>
  <c r="G24" i="1"/>
  <c r="F24" i="1"/>
  <c r="E24" i="1"/>
  <c r="D24" i="1"/>
  <c r="C24" i="1"/>
  <c r="B24" i="1"/>
  <c r="I23" i="1"/>
  <c r="H23" i="1"/>
  <c r="G23" i="1"/>
  <c r="F23" i="1"/>
  <c r="E23" i="1"/>
  <c r="D23" i="1"/>
  <c r="C23" i="1"/>
  <c r="I22" i="1"/>
  <c r="H22" i="1"/>
  <c r="G22" i="1"/>
  <c r="F22" i="1"/>
  <c r="E22" i="1"/>
  <c r="D22" i="1"/>
  <c r="C22" i="1"/>
  <c r="B22" i="1"/>
  <c r="I21" i="1"/>
  <c r="H21" i="1"/>
  <c r="G21" i="1"/>
  <c r="F21" i="1"/>
  <c r="E21" i="1"/>
  <c r="D21" i="1"/>
  <c r="C21" i="1"/>
  <c r="B21" i="1"/>
  <c r="I20" i="1"/>
  <c r="H20" i="1"/>
  <c r="G20" i="1"/>
  <c r="F20" i="1"/>
  <c r="E20" i="1"/>
  <c r="D20" i="1"/>
  <c r="C20" i="1"/>
  <c r="B20" i="1"/>
  <c r="I19" i="1"/>
  <c r="H19" i="1"/>
  <c r="G19" i="1"/>
  <c r="F19" i="1"/>
  <c r="E19" i="1"/>
  <c r="D19" i="1"/>
  <c r="C19" i="1"/>
  <c r="B19" i="1"/>
  <c r="I18" i="1"/>
  <c r="H18" i="1"/>
  <c r="G18" i="1"/>
  <c r="F18" i="1"/>
  <c r="E18" i="1"/>
  <c r="D18" i="1"/>
  <c r="C18" i="1"/>
  <c r="B18" i="1"/>
  <c r="I17" i="1"/>
  <c r="H17" i="1"/>
  <c r="G17" i="1"/>
  <c r="F17" i="1"/>
  <c r="E17" i="1"/>
  <c r="D17" i="1"/>
  <c r="C17" i="1"/>
  <c r="B17" i="1"/>
  <c r="I16" i="1"/>
  <c r="H16" i="1"/>
  <c r="G16" i="1"/>
  <c r="F16" i="1"/>
  <c r="E16" i="1"/>
  <c r="D16" i="1"/>
  <c r="C16" i="1"/>
  <c r="B16" i="1"/>
  <c r="I15" i="1"/>
  <c r="H15" i="1"/>
  <c r="G15" i="1"/>
  <c r="F15" i="1"/>
  <c r="E15" i="1"/>
  <c r="D15" i="1"/>
  <c r="C15" i="1"/>
  <c r="B15" i="1"/>
  <c r="I14" i="1"/>
  <c r="H14" i="1"/>
  <c r="G14" i="1"/>
  <c r="F14" i="1"/>
  <c r="E14" i="1"/>
  <c r="D14" i="1"/>
  <c r="C14" i="1"/>
  <c r="B14" i="1"/>
  <c r="I13" i="1"/>
  <c r="H13" i="1"/>
  <c r="G13" i="1"/>
  <c r="F13" i="1"/>
  <c r="E13" i="1"/>
  <c r="D13" i="1"/>
  <c r="C13" i="1"/>
  <c r="B13" i="1"/>
  <c r="I12" i="1"/>
  <c r="H12" i="1"/>
  <c r="G12" i="1"/>
  <c r="F12" i="1"/>
  <c r="E12" i="1"/>
  <c r="D12" i="1"/>
  <c r="C12" i="1"/>
  <c r="B12" i="1"/>
  <c r="I11" i="1"/>
  <c r="H11" i="1"/>
  <c r="G11" i="1"/>
  <c r="F11" i="1"/>
  <c r="E11" i="1"/>
  <c r="D11" i="1"/>
  <c r="C11" i="1"/>
  <c r="B11" i="1"/>
  <c r="I10" i="1"/>
  <c r="H10" i="1"/>
  <c r="G10" i="1"/>
  <c r="F10" i="1"/>
  <c r="E10" i="1"/>
  <c r="D10" i="1"/>
  <c r="C10" i="1"/>
  <c r="B10" i="1"/>
  <c r="I9" i="1"/>
  <c r="H9" i="1"/>
  <c r="G9" i="1"/>
  <c r="F9" i="1"/>
  <c r="E9" i="1"/>
  <c r="D9" i="1"/>
  <c r="C9" i="1"/>
  <c r="B9" i="1"/>
  <c r="I8" i="1"/>
  <c r="H8" i="1"/>
  <c r="G8" i="1"/>
  <c r="F8" i="1"/>
  <c r="E8" i="1"/>
  <c r="D8" i="1"/>
  <c r="C8" i="1"/>
  <c r="B8" i="1"/>
  <c r="I7" i="1"/>
  <c r="H7" i="1"/>
  <c r="G7" i="1"/>
  <c r="F7" i="1"/>
  <c r="E7" i="1"/>
  <c r="D7" i="1"/>
  <c r="C7" i="1"/>
  <c r="B7" i="1"/>
  <c r="I5" i="1"/>
  <c r="H5" i="1"/>
  <c r="G5" i="1"/>
  <c r="F5" i="1"/>
  <c r="E5" i="1"/>
  <c r="D5" i="1"/>
  <c r="C5" i="1"/>
  <c r="B5" i="1"/>
  <c r="I3" i="1"/>
  <c r="H3" i="1"/>
  <c r="G3" i="1"/>
  <c r="F3" i="1"/>
  <c r="E3" i="1"/>
  <c r="D3" i="1"/>
  <c r="C3" i="1"/>
</calcChain>
</file>

<file path=xl/comments1.xml><?xml version="1.0" encoding="utf-8"?>
<comments xmlns="http://schemas.openxmlformats.org/spreadsheetml/2006/main">
  <authors>
    <author>Office 2010 Hack</author>
  </authors>
  <commentList>
    <comment ref="B7" authorId="0">
      <text>
        <r>
          <rPr>
            <b/>
            <sz val="9"/>
            <color indexed="81"/>
            <rFont val="Tahoma"/>
            <family val="2"/>
          </rPr>
          <t>Office 2010 Hack:</t>
        </r>
        <r>
          <rPr>
            <sz val="9"/>
            <color indexed="81"/>
            <rFont val="Tahoma"/>
            <family val="2"/>
          </rPr>
          <t xml:space="preserve">
% da Receita Líquida</t>
        </r>
      </text>
    </comment>
    <comment ref="B9" authorId="0">
      <text>
        <r>
          <rPr>
            <b/>
            <sz val="9"/>
            <color indexed="81"/>
            <rFont val="Tahoma"/>
            <family val="2"/>
          </rPr>
          <t>Office 2010 Hack:</t>
        </r>
        <r>
          <rPr>
            <sz val="9"/>
            <color indexed="81"/>
            <rFont val="Tahoma"/>
            <family val="2"/>
          </rPr>
          <t xml:space="preserve">
Acompanha Receita Líquida</t>
        </r>
      </text>
    </comment>
    <comment ref="B10" authorId="0">
      <text>
        <r>
          <rPr>
            <b/>
            <sz val="9"/>
            <color indexed="81"/>
            <rFont val="Tahoma"/>
            <family val="2"/>
          </rPr>
          <t>Office 2010 Hack:</t>
        </r>
        <r>
          <rPr>
            <sz val="9"/>
            <color indexed="81"/>
            <rFont val="Tahoma"/>
            <family val="2"/>
          </rPr>
          <t xml:space="preserve">
Acompanha Receita
</t>
        </r>
      </text>
    </comment>
    <comment ref="B12" authorId="0">
      <text>
        <r>
          <rPr>
            <b/>
            <sz val="9"/>
            <color indexed="81"/>
            <rFont val="Tahoma"/>
            <family val="2"/>
          </rPr>
          <t>Office 2010 Hack:</t>
        </r>
        <r>
          <rPr>
            <sz val="9"/>
            <color indexed="81"/>
            <rFont val="Tahoma"/>
            <family val="2"/>
          </rPr>
          <t xml:space="preserve">
Salários + Encargos, considerando aumento de 10% a.a.
</t>
        </r>
      </text>
    </comment>
    <comment ref="B13" authorId="0">
      <text>
        <r>
          <rPr>
            <b/>
            <sz val="9"/>
            <color indexed="81"/>
            <rFont val="Tahoma"/>
            <family val="2"/>
          </rPr>
          <t>Office 2010 Hack:</t>
        </r>
        <r>
          <rPr>
            <sz val="9"/>
            <color indexed="81"/>
            <rFont val="Tahoma"/>
            <family val="2"/>
          </rPr>
          <t xml:space="preserve">
Entra nos fixos.</t>
        </r>
      </text>
    </comment>
    <comment ref="B14" authorId="0">
      <text>
        <r>
          <rPr>
            <b/>
            <sz val="9"/>
            <color indexed="81"/>
            <rFont val="Tahoma"/>
            <family val="2"/>
          </rPr>
          <t>Office 2010 Hack:</t>
        </r>
        <r>
          <rPr>
            <sz val="9"/>
            <color indexed="81"/>
            <rFont val="Tahoma"/>
            <family val="2"/>
          </rPr>
          <t xml:space="preserve">
Energia, segue o Custo do produto.
</t>
        </r>
      </text>
    </comment>
    <comment ref="B23" authorId="0">
      <text>
        <r>
          <rPr>
            <b/>
            <sz val="9"/>
            <color indexed="81"/>
            <rFont val="Tahoma"/>
            <family val="2"/>
          </rPr>
          <t>Office 2010 Hack:</t>
        </r>
        <r>
          <rPr>
            <sz val="9"/>
            <color indexed="81"/>
            <rFont val="Tahoma"/>
            <family val="2"/>
          </rPr>
          <t xml:space="preserve">
Telefone, 5% da variação da RL</t>
        </r>
      </text>
    </comment>
    <comment ref="B31" authorId="0">
      <text>
        <r>
          <rPr>
            <b/>
            <sz val="9"/>
            <color indexed="81"/>
            <rFont val="Tahoma"/>
            <family val="2"/>
          </rPr>
          <t>Office 2010 Hack:</t>
        </r>
        <r>
          <rPr>
            <sz val="9"/>
            <color indexed="81"/>
            <rFont val="Tahoma"/>
            <family val="2"/>
          </rPr>
          <t xml:space="preserve">
Outros 12,25% + 
Telefone. + 7% Bonific.</t>
        </r>
      </text>
    </comment>
    <comment ref="B32" authorId="0">
      <text>
        <r>
          <rPr>
            <b/>
            <sz val="9"/>
            <color indexed="81"/>
            <rFont val="Tahoma"/>
            <family val="2"/>
          </rPr>
          <t>Office 2010 Hack:</t>
        </r>
        <r>
          <rPr>
            <sz val="9"/>
            <color indexed="81"/>
            <rFont val="Tahoma"/>
            <family val="2"/>
          </rPr>
          <t xml:space="preserve">
Mesmo montante!</t>
        </r>
      </text>
    </comment>
  </commentList>
</comments>
</file>

<file path=xl/comments2.xml><?xml version="1.0" encoding="utf-8"?>
<comments xmlns="http://schemas.openxmlformats.org/spreadsheetml/2006/main">
  <authors>
    <author>Office 2010 Hack</author>
  </authors>
  <commentList>
    <comment ref="H4" authorId="0">
      <text>
        <r>
          <rPr>
            <b/>
            <sz val="9"/>
            <color indexed="81"/>
            <rFont val="Tahoma"/>
            <family val="2"/>
          </rPr>
          <t>Office 2010 Hack:</t>
        </r>
        <r>
          <rPr>
            <sz val="9"/>
            <color indexed="81"/>
            <rFont val="Tahoma"/>
            <family val="2"/>
          </rPr>
          <t xml:space="preserve">
30% produção</t>
        </r>
      </text>
    </comment>
  </commentList>
</comments>
</file>

<file path=xl/sharedStrings.xml><?xml version="1.0" encoding="utf-8"?>
<sst xmlns="http://schemas.openxmlformats.org/spreadsheetml/2006/main" count="522" uniqueCount="357">
  <si>
    <t>Balanço Patrimonial Empresa Alfa - Ativo</t>
  </si>
  <si>
    <t>Contas</t>
  </si>
  <si>
    <t>Balanço Patrimonial Empresa Alfa - Passivo</t>
  </si>
  <si>
    <t>Passivo</t>
  </si>
  <si>
    <t>Passivo Circulante</t>
  </si>
  <si>
    <t>Fornecedores</t>
  </si>
  <si>
    <t>Emprestimos e Financiamentos</t>
  </si>
  <si>
    <t>Obrigações Trabalhistas Previdenciárias</t>
  </si>
  <si>
    <t>Obrigações Previdenciárias</t>
  </si>
  <si>
    <t>Obrigações com Pessoal</t>
  </si>
  <si>
    <t>Outras Obrigações e Contribuicoes</t>
  </si>
  <si>
    <t>Obrigações Fiscais e Tributarias</t>
  </si>
  <si>
    <t>Outras Obrigações</t>
  </si>
  <si>
    <t>Retenções Diversas a Recolher</t>
  </si>
  <si>
    <t>Passivo Não Circulante</t>
  </si>
  <si>
    <t>Empréstimos e Financiamentos</t>
  </si>
  <si>
    <t>Patrimônio Líquido</t>
  </si>
  <si>
    <t>Capital Social Realizado</t>
  </si>
  <si>
    <t>Capital Subscrito</t>
  </si>
  <si>
    <t>Capital a Integralizar</t>
  </si>
  <si>
    <t>Reservas</t>
  </si>
  <si>
    <t>Lucros Acumulados</t>
  </si>
  <si>
    <t>Demonstrativo do Resultado do Exercício Empresa Alfa</t>
  </si>
  <si>
    <t>Receita Operacional Líquida</t>
  </si>
  <si>
    <t>Lucro Bruto</t>
  </si>
  <si>
    <t>Despesas Operacionais</t>
  </si>
  <si>
    <t>Com Vendas</t>
  </si>
  <si>
    <t>Administrativas</t>
  </si>
  <si>
    <t>Despesas Financeiras</t>
  </si>
  <si>
    <t>Outras Despesas Operacionais</t>
  </si>
  <si>
    <t>Outras Receitas Operacionais</t>
  </si>
  <si>
    <t>Despesas Não Operacionais</t>
  </si>
  <si>
    <t>Resultado Operacional</t>
  </si>
  <si>
    <t>Lucro Antes do IR</t>
  </si>
  <si>
    <t>Resultado Líquido</t>
  </si>
  <si>
    <t>Ativo</t>
  </si>
  <si>
    <t>Ativo Circulante</t>
  </si>
  <si>
    <t>Disponibilidades</t>
  </si>
  <si>
    <t>Caixa</t>
  </si>
  <si>
    <t>Bancos</t>
  </si>
  <si>
    <t>Aplicações Financeiras</t>
  </si>
  <si>
    <t>Créditos</t>
  </si>
  <si>
    <t>Outras Obrig. e Contribuições</t>
  </si>
  <si>
    <t>Duplicatas a Receber</t>
  </si>
  <si>
    <t>Obrigações Fiscais e Tributárias</t>
  </si>
  <si>
    <t>Créditos Div. a Compensar</t>
  </si>
  <si>
    <t>Estoques</t>
  </si>
  <si>
    <t xml:space="preserve">        -   </t>
  </si>
  <si>
    <t>Estoque de Matéria-Prima</t>
  </si>
  <si>
    <t>Estoque de Produtos Acabados</t>
  </si>
  <si>
    <t>Ativo Não Circulante</t>
  </si>
  <si>
    <t>Imobilizado</t>
  </si>
  <si>
    <t>Depreciações</t>
  </si>
  <si>
    <t>Custo dos Produtos Vendidos</t>
  </si>
  <si>
    <t>Tributárias</t>
  </si>
  <si>
    <t>Demonstração do Resultado do Exercício</t>
  </si>
  <si>
    <t>Balanço Patrimonial</t>
  </si>
  <si>
    <t>CONTAS DE RESULTADO - EVOLUÇÃO ANUAL  (%)</t>
  </si>
  <si>
    <t>DRE</t>
  </si>
  <si>
    <t>Ano 0</t>
  </si>
  <si>
    <t>Ano 1</t>
  </si>
  <si>
    <t>Ano 2</t>
  </si>
  <si>
    <t>Ano 3</t>
  </si>
  <si>
    <t>Ano 4</t>
  </si>
  <si>
    <t>Ano 5</t>
  </si>
  <si>
    <t>Ano 6</t>
  </si>
  <si>
    <t>Ano 7</t>
  </si>
  <si>
    <t>Ano 8</t>
  </si>
  <si>
    <t>Ano 9</t>
  </si>
  <si>
    <t>Ano 10</t>
  </si>
  <si>
    <t>Receita Líquida</t>
  </si>
  <si>
    <t>Crescimento</t>
  </si>
  <si>
    <t>CPV</t>
  </si>
  <si>
    <t>Custos Variáveis</t>
  </si>
  <si>
    <t>Custo do Produto</t>
  </si>
  <si>
    <t>Outros</t>
  </si>
  <si>
    <t>Custos Fixos</t>
  </si>
  <si>
    <t>Salários e encargos</t>
  </si>
  <si>
    <t>Depreciação</t>
  </si>
  <si>
    <t>Outros?</t>
  </si>
  <si>
    <t>Despesas Administrativas</t>
  </si>
  <si>
    <t>Serviços de terceiros</t>
  </si>
  <si>
    <t>Despesas com manutenção</t>
  </si>
  <si>
    <t>Despesas Comerciais</t>
  </si>
  <si>
    <t>Comissão</t>
  </si>
  <si>
    <t>Despesas com viagens</t>
  </si>
  <si>
    <t>Propaganda e publicidade</t>
  </si>
  <si>
    <t>Despesas Tributárias</t>
  </si>
  <si>
    <t>IPTU</t>
  </si>
  <si>
    <t>Taxas</t>
  </si>
  <si>
    <t xml:space="preserve">Outras Receitas </t>
  </si>
  <si>
    <t xml:space="preserve">Outras Despesas </t>
  </si>
  <si>
    <t>Despesas Bancárias</t>
  </si>
  <si>
    <t>Pagamento de juros</t>
  </si>
  <si>
    <t>Receitas Financeiras</t>
  </si>
  <si>
    <t>Resultado Antes de IR/CS</t>
  </si>
  <si>
    <t>Impostos sobre o lucro</t>
  </si>
  <si>
    <t>Provisão Contribuição Social</t>
  </si>
  <si>
    <t xml:space="preserve">Provisão Imposto de Renda </t>
  </si>
  <si>
    <t>Lucro Operacional Após IR</t>
  </si>
  <si>
    <t xml:space="preserve">CAPITAL DE GIRO - EVOLUÇÃO ANUAL  </t>
  </si>
  <si>
    <t>NCG</t>
  </si>
  <si>
    <t>Clientes</t>
  </si>
  <si>
    <t>Despesas Antecipadas</t>
  </si>
  <si>
    <t>Obrigações Trabalhistas e Previdenciárias</t>
  </si>
  <si>
    <t>Necessidade de Capital de Giro</t>
  </si>
  <si>
    <t>Evolução da Necessidade de Capital de Giro</t>
  </si>
  <si>
    <t>Investimento em Capital de Giro</t>
  </si>
  <si>
    <t>(-) Depreciação</t>
  </si>
  <si>
    <t>(-) Depreciação acumulada</t>
  </si>
  <si>
    <t>Variação do Imobilizado</t>
  </si>
  <si>
    <t>Setor</t>
  </si>
  <si>
    <t>Administrativo</t>
  </si>
  <si>
    <t>Vendas</t>
  </si>
  <si>
    <t>Produção</t>
  </si>
  <si>
    <t>IMOBILIZADO - EVOLUÇÃO ANUAL</t>
  </si>
  <si>
    <t>Distribuição</t>
  </si>
  <si>
    <t>PROJEÇÃO DO FLUXO DE CAIXA LIVRE PARA A EMPRESA</t>
  </si>
  <si>
    <t>Conta</t>
  </si>
  <si>
    <t>Receitas</t>
  </si>
  <si>
    <t>(-) Custos</t>
  </si>
  <si>
    <t>(-) Despesas Operacionais</t>
  </si>
  <si>
    <t>(-) IR s/ Operações</t>
  </si>
  <si>
    <t>(=) Lucro Operacional Após IR</t>
  </si>
  <si>
    <t>(+) Depreciação</t>
  </si>
  <si>
    <t>(-) Imobilizações</t>
  </si>
  <si>
    <t>(+/-) Variação do Capital de Giro</t>
  </si>
  <si>
    <t>(=) Fluxo de Caixa Livre para a empresa</t>
  </si>
  <si>
    <t>Custos</t>
  </si>
  <si>
    <t>% da Receita Líquida</t>
  </si>
  <si>
    <t>Total</t>
  </si>
  <si>
    <t>Ativo Imobilizado</t>
  </si>
  <si>
    <t>Salários e Encargos</t>
  </si>
  <si>
    <t>Impostos a Recolher</t>
  </si>
  <si>
    <t>Necessidade de CG</t>
  </si>
  <si>
    <t>Evoluçao da NCG</t>
  </si>
  <si>
    <t>(=) NOPAT</t>
  </si>
  <si>
    <t>(-) Variação do CG</t>
  </si>
  <si>
    <t>(=) Fluxo de Caixa  para a empresa</t>
  </si>
  <si>
    <t>Valor (R$ mil)</t>
  </si>
  <si>
    <t>Empréstimo Curto Prazo</t>
  </si>
  <si>
    <t>PROGER</t>
  </si>
  <si>
    <t>Custo de Capital de Terceiros</t>
  </si>
  <si>
    <t xml:space="preserve"> Variáveis</t>
  </si>
  <si>
    <t xml:space="preserve"> Exercício de 2011</t>
  </si>
  <si>
    <t>Nutreco N. V.</t>
  </si>
  <si>
    <t xml:space="preserve">   Beta</t>
  </si>
  <si>
    <t xml:space="preserve">   Relação Dívida Onerosa/Patrimônio Líquido</t>
  </si>
  <si>
    <r>
      <t xml:space="preserve">   </t>
    </r>
    <r>
      <rPr>
        <i/>
        <sz val="12"/>
        <color theme="1"/>
        <rFont val="Arial"/>
        <family val="2"/>
      </rPr>
      <t xml:space="preserve">Beta </t>
    </r>
    <r>
      <rPr>
        <sz val="12"/>
        <color theme="1"/>
        <rFont val="Arial"/>
        <family val="2"/>
      </rPr>
      <t>Não-Alavancado</t>
    </r>
  </si>
  <si>
    <t xml:space="preserve"> Empresa Alfa</t>
  </si>
  <si>
    <r>
      <t xml:space="preserve">   </t>
    </r>
    <r>
      <rPr>
        <i/>
        <sz val="12"/>
        <color theme="1"/>
        <rFont val="Arial"/>
        <family val="2"/>
      </rPr>
      <t>Beta</t>
    </r>
    <r>
      <rPr>
        <sz val="12"/>
        <color theme="1"/>
        <rFont val="Arial"/>
        <family val="2"/>
      </rPr>
      <t xml:space="preserve"> Alavancado Empresa Alfa</t>
    </r>
  </si>
  <si>
    <t xml:space="preserve"> Modelo CAPM</t>
  </si>
  <si>
    <r>
      <t xml:space="preserve">   Taxa Livre de Risco (</t>
    </r>
    <r>
      <rPr>
        <i/>
        <sz val="12"/>
        <color theme="1"/>
        <rFont val="Arial"/>
        <family val="2"/>
      </rPr>
      <t>T-Bonds</t>
    </r>
    <r>
      <rPr>
        <sz val="12"/>
        <color theme="1"/>
        <rFont val="Arial"/>
        <family val="2"/>
      </rPr>
      <t>Americanos de 30 anos</t>
    </r>
    <r>
      <rPr>
        <vertAlign val="superscript"/>
        <sz val="12"/>
        <color theme="1"/>
        <rFont val="Arial"/>
        <family val="2"/>
      </rPr>
      <t>3</t>
    </r>
    <r>
      <rPr>
        <sz val="12"/>
        <color theme="1"/>
        <rFont val="Arial"/>
        <family val="2"/>
      </rPr>
      <t>)</t>
    </r>
  </si>
  <si>
    <r>
      <t xml:space="preserve">   Retorno do Mercado de Ações - IBrX-100</t>
    </r>
    <r>
      <rPr>
        <vertAlign val="superscript"/>
        <sz val="12"/>
        <color theme="1"/>
        <rFont val="Arial"/>
        <family val="2"/>
      </rPr>
      <t>4</t>
    </r>
  </si>
  <si>
    <t xml:space="preserve">   Risco-País</t>
  </si>
  <si>
    <t xml:space="preserve">   Taxa de Retorno Exigido</t>
  </si>
  <si>
    <t>Variáveis</t>
  </si>
  <si>
    <t>Fontes (R$ mil)</t>
  </si>
  <si>
    <t>Custo do Capital de Terceiros</t>
  </si>
  <si>
    <t>Custo do Capital Próprio</t>
  </si>
  <si>
    <t>CMPC</t>
  </si>
  <si>
    <t>Valor</t>
  </si>
  <si>
    <r>
      <t>WACC (%) -</t>
    </r>
    <r>
      <rPr>
        <i/>
        <sz val="12"/>
        <color theme="1"/>
        <rFont val="Arial"/>
        <family val="2"/>
      </rPr>
      <t xml:space="preserve"> k</t>
    </r>
  </si>
  <si>
    <r>
      <t>Taxa de crescimento do fluxo de caixa (%) -</t>
    </r>
    <r>
      <rPr>
        <i/>
        <sz val="12"/>
        <color theme="1"/>
        <rFont val="Arial"/>
        <family val="2"/>
      </rPr>
      <t xml:space="preserve"> g</t>
    </r>
  </si>
  <si>
    <t>k - g</t>
  </si>
  <si>
    <t>Fluxo de caixa livre - Ano 10</t>
  </si>
  <si>
    <t>(=) Valor Residual</t>
  </si>
  <si>
    <t>Fator de Atualização</t>
  </si>
  <si>
    <t>(=) Valor presente do valor residual</t>
  </si>
  <si>
    <t xml:space="preserve">Variáveis </t>
  </si>
  <si>
    <t>R$ (mil)</t>
  </si>
  <si>
    <t xml:space="preserve"> VP do fluxo de caixa livre </t>
  </si>
  <si>
    <t xml:space="preserve"> (+) VP do valor residual </t>
  </si>
  <si>
    <r>
      <t xml:space="preserve"> (=) VO</t>
    </r>
    <r>
      <rPr>
        <b/>
        <vertAlign val="subscript"/>
        <sz val="12"/>
        <color theme="1"/>
        <rFont val="Arial"/>
        <family val="2"/>
      </rPr>
      <t>E</t>
    </r>
    <r>
      <rPr>
        <b/>
        <sz val="12"/>
        <color theme="1"/>
        <rFont val="Arial"/>
        <family val="2"/>
      </rPr>
      <t xml:space="preserve">   </t>
    </r>
  </si>
  <si>
    <t xml:space="preserve"> (+) Ativos não operacionais </t>
  </si>
  <si>
    <r>
      <t xml:space="preserve"> (=) VTM</t>
    </r>
    <r>
      <rPr>
        <b/>
        <vertAlign val="subscript"/>
        <sz val="12"/>
        <color theme="1"/>
        <rFont val="Arial"/>
        <family val="2"/>
      </rPr>
      <t>E</t>
    </r>
    <r>
      <rPr>
        <b/>
        <sz val="12"/>
        <color theme="1"/>
        <rFont val="Arial"/>
        <family val="2"/>
      </rPr>
      <t xml:space="preserve">    </t>
    </r>
  </si>
  <si>
    <t xml:space="preserve"> (-) Passivo oneroso </t>
  </si>
  <si>
    <t xml:space="preserve"> (-) Ações Preferenciais </t>
  </si>
  <si>
    <r>
      <t xml:space="preserve"> (=) VM</t>
    </r>
    <r>
      <rPr>
        <b/>
        <vertAlign val="subscript"/>
        <sz val="12"/>
        <color theme="1"/>
        <rFont val="Arial"/>
        <family val="2"/>
      </rPr>
      <t xml:space="preserve">PL </t>
    </r>
  </si>
  <si>
    <t xml:space="preserve"> (-) Valor contábil do PL </t>
  </si>
  <si>
    <r>
      <t xml:space="preserve"> (=)  MVA</t>
    </r>
    <r>
      <rPr>
        <b/>
        <vertAlign val="superscript"/>
        <sz val="12"/>
        <color theme="1"/>
        <rFont val="Arial"/>
        <family val="2"/>
      </rPr>
      <t>®</t>
    </r>
  </si>
  <si>
    <t>Cenários</t>
  </si>
  <si>
    <t>Pessimista</t>
  </si>
  <si>
    <t>Estável</t>
  </si>
  <si>
    <t>Otimista</t>
  </si>
  <si>
    <t xml:space="preserve">WACC </t>
  </si>
  <si>
    <t xml:space="preserve">NOPAT médio </t>
  </si>
  <si>
    <r>
      <t>Crescimento do fluxo de caixa (</t>
    </r>
    <r>
      <rPr>
        <i/>
        <sz val="12"/>
        <color theme="1"/>
        <rFont val="Arial"/>
        <family val="2"/>
      </rPr>
      <t>g</t>
    </r>
    <r>
      <rPr>
        <sz val="12"/>
        <color theme="1"/>
        <rFont val="Arial"/>
        <family val="2"/>
      </rPr>
      <t>)</t>
    </r>
  </si>
  <si>
    <t>Valor de mercado das operações da empresa (R$ mil)</t>
  </si>
  <si>
    <t>Valor total de mercado da empresa (R$ mil)</t>
  </si>
  <si>
    <t>Valor de mercado do patrimônio líquido (R$ mil)</t>
  </si>
  <si>
    <r>
      <rPr>
        <i/>
        <sz val="12"/>
        <color theme="1"/>
        <rFont val="Arial"/>
        <family val="2"/>
      </rPr>
      <t>Market Value Added - MVA</t>
    </r>
    <r>
      <rPr>
        <sz val="12"/>
        <color theme="1"/>
        <rFont val="Arial"/>
        <family val="2"/>
      </rPr>
      <t xml:space="preserve"> (R$ mil)</t>
    </r>
  </si>
  <si>
    <r>
      <rPr>
        <i/>
        <sz val="12"/>
        <color theme="1"/>
        <rFont val="Arial"/>
        <family val="2"/>
      </rPr>
      <t>MVA</t>
    </r>
    <r>
      <rPr>
        <sz val="12"/>
        <color theme="1"/>
        <rFont val="Arial"/>
        <family val="2"/>
      </rPr>
      <t xml:space="preserve"> /  Valor Contábil (vezes)</t>
    </r>
  </si>
  <si>
    <t>VMPL / Valor Contábil (vezes)</t>
  </si>
  <si>
    <t>QUESTIONÁRIO APLICADO NA EMPRESA ALFA LTDA.</t>
  </si>
  <si>
    <t xml:space="preserve">Nutrição: 57,3%         </t>
  </si>
  <si>
    <t xml:space="preserve"> Homeopatia­­: 42,7%</t>
  </si>
  <si>
    <t xml:space="preserve">Nutrição: 60,6%         </t>
  </si>
  <si>
    <t xml:space="preserve"> Homeopatia: 39,4%</t>
  </si>
  <si>
    <t>Nutrição: 50%         Homeopatia­: 50%</t>
  </si>
  <si>
    <t>R. Desenvolvimento da linha de produtos associado ao profissional adequado. Custos elevados para implantação e desenvolvimento (testes de Campo demorado).</t>
  </si>
  <si>
    <t>(    ) Irrelevante  para o ingresso no setor</t>
  </si>
  <si>
    <t xml:space="preserve">( X ) Relevante   </t>
  </si>
  <si>
    <t>(    ) Fator determinante</t>
  </si>
  <si>
    <t xml:space="preserve">Explique como isso ajudou ou prejudicou a entrada no setor de homeopatia: </t>
  </si>
  <si>
    <t>R. No inicio os custos eram altos e não podíamos diluir os custos fixos da mesma maneira com os demais produtos, então isso era visto como investimento, onde num segundo momento o produto ia crescendo em volume de venda e se firmando no seu mercado, ou seja na maioria dos casos trabalhávamos com margens mais baixas pois o preço final dos produtos era parametrizado pelo mercado e seus custos diluídos com o tempo.</t>
  </si>
  <si>
    <t xml:space="preserve">(   ) NENHUMA </t>
  </si>
  <si>
    <t>(   ) APENAS 1</t>
  </si>
  <si>
    <t>(   ) DE 2 A 5</t>
  </si>
  <si>
    <t>( X ) DE 5 A 10</t>
  </si>
  <si>
    <t>(   ) ACIMA DE 10</t>
  </si>
  <si>
    <t>Indique uma porcentagem em relação às vendas liquidas nos anos:</t>
  </si>
  <si>
    <t>2010 = 3%</t>
  </si>
  <si>
    <t>2011 = 5%</t>
  </si>
  <si>
    <t>Quanto pretende investir em 2012: 5%</t>
  </si>
  <si>
    <t>(   ) Fraca</t>
  </si>
  <si>
    <t>( X ) Boa</t>
  </si>
  <si>
    <t>(   ) Ótima</t>
  </si>
  <si>
    <t>(   ) SIM        ( X ) NÃO</t>
  </si>
  <si>
    <t>Se investiu, patenteou a tecnologia?</t>
  </si>
  <si>
    <t>(   ) SIM        (    ) NÃO</t>
  </si>
  <si>
    <t>( X ) SIM        (    ) NÃO</t>
  </si>
  <si>
    <t>Se a resposta for sim, esse custo influenciou na tomada de decisão de iniciar ou não a produção.</t>
  </si>
  <si>
    <t xml:space="preserve">Se sim, descreva: </t>
  </si>
  <si>
    <t>R. Muitas vezes quando imaginamos um novo produto nos deparamos com diversas situações de máquinas não disponíveis bem como no nosso caso de custos muito elevados, então se fez necessário desenvolvermos internamente nossas máquinas para beneficiamento dos produtos homeopáticos.</t>
  </si>
  <si>
    <t>(   ) Inexistente</t>
  </si>
  <si>
    <t>(   ) Baixo</t>
  </si>
  <si>
    <t>(   ) Moderado</t>
  </si>
  <si>
    <t>( X ) Alto</t>
  </si>
  <si>
    <t>(   ) Altíssimo</t>
  </si>
  <si>
    <t>(   ) até 100.000,00</t>
  </si>
  <si>
    <t>(   ) de 100.000,01 a  500.000,00</t>
  </si>
  <si>
    <t>( X ) de 500.000,01 a  1.000.000,00</t>
  </si>
  <si>
    <t>(   ) de 1.000.000,01 a 5.000.000,00</t>
  </si>
  <si>
    <t>(   ) Acima de 5.000.000.01</t>
  </si>
  <si>
    <t>Se sim, a empresa incorreu em novos custos?</t>
  </si>
  <si>
    <t>Se, sim indique uma porcentagem desses custos adicionais em relação às vendas liquidas.</t>
  </si>
  <si>
    <t>R. 12%</t>
  </si>
  <si>
    <t>( X ) No Mercado Interno</t>
  </si>
  <si>
    <t>(   ) No Mercado Externo</t>
  </si>
  <si>
    <t>(   ) Em ambos</t>
  </si>
  <si>
    <t>(   ) Existe apenas um Fornecedor no Mercado</t>
  </si>
  <si>
    <t>(   ) Não existem mais que três</t>
  </si>
  <si>
    <t>(   ) Existem no máximo 5</t>
  </si>
  <si>
    <t>(X) Existe uma boa quantidade de FORNECEDORES, onde é possível melhorar em qualidade e preço.</t>
  </si>
  <si>
    <t>( X ) Fornecedores não têm que lutar contra outros produtos substitutos vendidos ao setor. Em outras palavras, existem poucos fornecedores no mercado.</t>
  </si>
  <si>
    <t>(   ) O fornecedor não depende de poucos clientes para efetuar uma parte substancial das vendas.</t>
  </si>
  <si>
    <t>(   ) Os produtos do fornecedor são importantes para o negócio do comprador.</t>
  </si>
  <si>
    <t>(   ) Os produtos do fornecedor são únicos, de alguma forma, ou seria caro ou problemático para o comprador encontrar um produto substituto.</t>
  </si>
  <si>
    <t>(   ) Eles impõem uma ameaça concreta de "integração para frente" - o grupo de fornecedores poderia se tornar um concorrente para o comprador usando os recursos/produto que vende atualmente ao comprador para produzir o item que o comprador fabrica atualmente.</t>
  </si>
  <si>
    <t>R. 1</t>
  </si>
  <si>
    <t>Se realizou, foi feita por profissionais com vinculo a empresa ou especialista contratado especificamente para realizar a pesquisa:</t>
  </si>
  <si>
    <t>( X  ) Funcionário próprio</t>
  </si>
  <si>
    <t>( X ) Profissional contrato para o serviço</t>
  </si>
  <si>
    <t>(   ) Sobram profissionais no mercado</t>
  </si>
  <si>
    <t>( X ) faltam profissionais no mercado</t>
  </si>
  <si>
    <t>(   ) Inexistem profissionais no mercado</t>
  </si>
  <si>
    <t>( X ) Nenhuma</t>
  </si>
  <si>
    <t>(   ) Ambiental</t>
  </si>
  <si>
    <t>(   ) Sanitária</t>
  </si>
  <si>
    <t>(   ) Tributária</t>
  </si>
  <si>
    <t>(   ) Ambas</t>
  </si>
  <si>
    <t xml:space="preserve">Se houve, comente sobre a limitação: </t>
  </si>
  <si>
    <t>Se existe, esses produtos mantem o mesmo nível de qualidade no tratamento?</t>
  </si>
  <si>
    <t>( X ) Distribuidores   63%</t>
  </si>
  <si>
    <t>( X ) Estabelecimentos Comerciais finais 35%</t>
  </si>
  <si>
    <t>( X ) Consumidor Final 2%</t>
  </si>
  <si>
    <t>(   ) Redução total das vendas – cliente adquire em grande escala</t>
  </si>
  <si>
    <t>(   ) Redução significativa – carteira de clientes é composta por poucos clientes</t>
  </si>
  <si>
    <t>( X ) Redução insignificante – carteira de clientes bem diversificada</t>
  </si>
  <si>
    <t>(   ) Economizar, preço da concorrência é mais baixo e de mesma qualidade.</t>
  </si>
  <si>
    <t>(   ) Economizar, preço da concorrência é mais baixa de baixa qualidade.</t>
  </si>
  <si>
    <t>(   ) Vai custar mais caro com qualidade superior</t>
  </si>
  <si>
    <t>( X ) Vai custar mais caro com a mesma qualidade</t>
  </si>
  <si>
    <t>(   ) Vai custar mais caro com qualidade inferior</t>
  </si>
  <si>
    <t>(   ) Não vai nem economizar ou pagar mais caro, os preços são iguais.</t>
  </si>
  <si>
    <t>( X ) Os clientes estão mais preocupados com a qualidade, um produto de qualidade inferior pode gerar grandes prejuízos, por isso aceitam pagar mais caro pelo produto.</t>
  </si>
  <si>
    <t>(   ) Os clientes estão mais preocupados com os preços, a baixa de qualidade do produto não afetará a sua produção final.</t>
  </si>
  <si>
    <t>(   ) ARMAZENAGEM</t>
  </si>
  <si>
    <t>( X ) TRANSPORTE</t>
  </si>
  <si>
    <t>(   ) DISTRIBUIÇÃO</t>
  </si>
  <si>
    <t>(   ) ENTREGAS</t>
  </si>
  <si>
    <t>Administração</t>
  </si>
  <si>
    <t xml:space="preserve">     Obs.: Enfoque, nesse caso, uma empresa corre atrás de um determinado comprador, linha de produto ou mercado geográfico.</t>
  </si>
  <si>
    <t>R. A empresa trabalha com recursos próprios, somente buscamos capital de terceiros para investimentos superiores a R$ 50.000,00, porém no ano de 2011 e 2012 estivemos investindo bastante nas instalações e maquinários, prevemos que não precisaremos por pelo menos por 3 anos de novos investimentos na fabrica, pois estamos com tudo novo e com capacidade de dobrar a produção.</t>
  </si>
  <si>
    <t>Existe interesse em aumentar a área produtiva? Expectativa de investimento:</t>
  </si>
  <si>
    <t>R. Sim, mas apenas após 5 anos porque para a prospecção de crescimento que temos, as instalações comportam até o dobro da capacidade produtiva e após 5 anos prevemos um aumento na fabrica de 30% .</t>
  </si>
  <si>
    <t xml:space="preserve">Numero de trabalhadores empregados no 1º Semestre de 2012: 35 </t>
  </si>
  <si>
    <t>Previsão de contratação para o 2º Semestre de 2012: 40</t>
  </si>
  <si>
    <t>Previsão de contratação 2013: 52</t>
  </si>
  <si>
    <t>Previsão de contratação 2014: 60</t>
  </si>
  <si>
    <t>Previsão de contratação 2015: 66</t>
  </si>
  <si>
    <t>Previsão de contratação 2016: 72</t>
  </si>
  <si>
    <t>Previsão de contratação 2017: 80</t>
  </si>
  <si>
    <t>R. Não</t>
  </si>
  <si>
    <t>Mês</t>
  </si>
  <si>
    <t>Classificação das Vendas</t>
  </si>
  <si>
    <t>Janeiro</t>
  </si>
  <si>
    <t>Bom</t>
  </si>
  <si>
    <t>Fevereiro</t>
  </si>
  <si>
    <t>Março</t>
  </si>
  <si>
    <t>Abril</t>
  </si>
  <si>
    <t>Ótimo</t>
  </si>
  <si>
    <t>Maio</t>
  </si>
  <si>
    <t>Junho</t>
  </si>
  <si>
    <t>Julho</t>
  </si>
  <si>
    <t>Agosto</t>
  </si>
  <si>
    <t>Setembro</t>
  </si>
  <si>
    <t>Outubro</t>
  </si>
  <si>
    <t>Novembro</t>
  </si>
  <si>
    <t>Dezembro</t>
  </si>
  <si>
    <t>R. 15%</t>
  </si>
  <si>
    <t>1.      Qual a proporção de produção dos produtos:</t>
  </si>
  <si>
    <t>2.      Qual a proporção de vendas dos produtos:</t>
  </si>
  <si>
    <t>3.      A empresa prevê um aumento nas vendas de 2012 em</t>
  </si>
  <si>
    <t>4.      Qual a principal dificuldade que a empresa encontrou para iniciar produção dos produtos da linha de homeopatia?</t>
  </si>
  <si>
    <t>5.      Em relação à entrada no mercado de homeopatia, custos incorridos no que se refere à economia de escala (aumento da produção com melhor aproveitamento dos custos fixos), no valor final do produto (preço de venda), essa barreira econômica imposta pelos grandes produtores à empresa define como:</t>
  </si>
  <si>
    <t>6.      A empresa enfrenta concorrência de outros fornecedores?</t>
  </si>
  <si>
    <t>7.      No que se refere à fixação da marca no mercado, para concorrer com os outros fornecedores, a empresa precisou investir quanto em propaganda e publicidade:</t>
  </si>
  <si>
    <t>8.      Em relação à lembrança da marca pelos clientes como sinônimo de qualidade, a empresa percebe como sendo:</t>
  </si>
  <si>
    <t>9.      Na produção de novos produtos a empresa precisou adquirir alguma formula patenteada?</t>
  </si>
  <si>
    <t>10.  A empresa necessitou investir em uma nova tecnologia, inexistente no mercado?</t>
  </si>
  <si>
    <t>11.  Precisou desenvolver alguma máquina especifica para a produção:</t>
  </si>
  <si>
    <t>12.  Existe limitação de Recursos Tecnológicos para produção dos novos produtos?</t>
  </si>
  <si>
    <t>13.   Quanto aos riscos financeiros decorrentes de inicio da produção de uma nova linha de produtos, a empresa define o risco como sendo:</t>
  </si>
  <si>
    <t>14.  Existiu alguma limitação financeira para produzir os novos produtos?</t>
  </si>
  <si>
    <t>15.  Se existiu os investimentos feitos foram na ordem de?</t>
  </si>
  <si>
    <t>16.  A empresa no inicio da produção da linha de produtos homeopáticos, precisou trocar de fornecedores, ou incorrer em novos fornecedores:</t>
  </si>
  <si>
    <t>17.  As Matérias primas são adquiridas</t>
  </si>
  <si>
    <t>18.  Em relação existência de fornecedores disponíveis no mercado</t>
  </si>
  <si>
    <t>19.  Assinale as opções que demonstram a realidade quanto à relação com os fornecedores.</t>
  </si>
  <si>
    <t>21.  Existe limitação em termos de Recursos Humanos para produção dos novos produtos?</t>
  </si>
  <si>
    <t>23.  Quanto à demanda de profissionais na área de pesquisas disponíveis no mercado.</t>
  </si>
  <si>
    <t>24.  A empresa enfrentou alguma limitação de Politica Governamental para iniciar a produção?</t>
  </si>
  <si>
    <t>25.  Existem disponível no mercado, produtos substitutos de outras linhas que serve para o mesmo tratamento, que não os homeopáticos com custo inferior?</t>
  </si>
  <si>
    <t>26.  Os Clientes da empresa eles se dividem em: (Indique uma proporção)</t>
  </si>
  <si>
    <t>27.  A não venda em mês para um cliente habitual da empresa pode ser sentida como:</t>
  </si>
  <si>
    <t>28.  Se o seu cliente resolver trocar o seu produto pela concorrência, ele vai?</t>
  </si>
  <si>
    <t>29.  Em relação ao preço e qualidade assinale a alternativa em que seus clientes se enquadram:</t>
  </si>
  <si>
    <t>31.  A empresa enfrenta algumas dessas limitações de logística?</t>
  </si>
  <si>
    <t>32.  Numero de funcionário nas seguintes áreas.</t>
  </si>
  <si>
    <t>33.  Quanto à estratégica competitiva a empresa se identifica com:</t>
  </si>
  <si>
    <t xml:space="preserve">34.  Qual a intenção em Investimentos em ativo imobilizado para os próximos cinco anos, e modalidade de financiamento? </t>
  </si>
  <si>
    <t xml:space="preserve">35.  Total em metros da área de instalações do setor de fabricação em 2012: </t>
  </si>
  <si>
    <t>R.     1.500 metros.</t>
  </si>
  <si>
    <t>36.  Estimativa do corpo de trabalho do setor de produção:</t>
  </si>
  <si>
    <t xml:space="preserve">39.  Em relação às vendas anuais, classifique as vendas mensais como sendo (ótimo, bom, regular, péssimo). </t>
  </si>
  <si>
    <t xml:space="preserve">40.  Qual a taxa de retorno sobre o capital próprio exigida pelos sócios da empresa? </t>
  </si>
  <si>
    <r>
      <t>20.  Em uma escala de 1 a 10, um correspondendo a 10% e dez correspondendo a 100%, indique o nível do poder de barganha de seus fornecedores em relação ao preço de vendas dos produtos adquiridos pela empresa:</t>
    </r>
    <r>
      <rPr>
        <sz val="12"/>
        <color theme="1"/>
        <rFont val="Arial"/>
        <family val="2"/>
      </rPr>
      <t xml:space="preserve"> </t>
    </r>
  </si>
  <si>
    <r>
      <t xml:space="preserve">22.  A empresa necessitou investir em </t>
    </r>
    <r>
      <rPr>
        <b/>
        <i/>
        <sz val="12"/>
        <color theme="1"/>
        <rFont val="Arial"/>
        <family val="2"/>
      </rPr>
      <t>pesquisa</t>
    </r>
    <r>
      <rPr>
        <b/>
        <sz val="12"/>
        <color theme="1"/>
        <rFont val="Arial"/>
        <family val="2"/>
      </rPr>
      <t xml:space="preserve"> de tecnologia de produção:</t>
    </r>
  </si>
  <si>
    <r>
      <t>30.  Em uma escala de 1 a 10, um correspondendo a 10% e dez correspondendo a 100%, indique o nível do poder de barganha de seus clientes em relação ao preço de vendas dos produtos adquiridos da empresa:</t>
    </r>
    <r>
      <rPr>
        <sz val="12"/>
        <color theme="1"/>
        <rFont val="Arial"/>
        <family val="2"/>
      </rPr>
      <t xml:space="preserve"> </t>
    </r>
  </si>
  <si>
    <r>
      <t>( X )</t>
    </r>
    <r>
      <rPr>
        <b/>
        <sz val="12"/>
        <color theme="1"/>
        <rFont val="Arial"/>
        <family val="2"/>
      </rPr>
      <t xml:space="preserve"> Liderança geral de custos, </t>
    </r>
    <r>
      <rPr>
        <sz val="12"/>
        <color theme="1"/>
        <rFont val="Arial"/>
        <family val="2"/>
      </rPr>
      <t>a empresa  dedica  grande atenção ao controle de custos. Embora não negligencie da qualidade, o principal tema da estratégia da empresa é o baixo custo em relação aos seus concorrentes.</t>
    </r>
  </si>
  <si>
    <r>
      <t xml:space="preserve">(   ) </t>
    </r>
    <r>
      <rPr>
        <b/>
        <sz val="12"/>
        <color theme="1"/>
        <rFont val="Arial"/>
        <family val="2"/>
      </rPr>
      <t xml:space="preserve">Diferenciação, </t>
    </r>
    <r>
      <rPr>
        <sz val="12"/>
        <color theme="1"/>
        <rFont val="Arial"/>
        <family val="2"/>
      </rPr>
      <t>como uma alternativa à liderança de custos. Com a diferenciação, a empresa se preocupa menos com os custos e tenta ser vista no setor como tendo algo de singular a oferecer.</t>
    </r>
  </si>
  <si>
    <r>
      <t>(   ) E</t>
    </r>
    <r>
      <rPr>
        <b/>
        <sz val="12"/>
        <color theme="1"/>
        <rFont val="Arial"/>
        <family val="2"/>
      </rPr>
      <t xml:space="preserve">nfoque, </t>
    </r>
    <r>
      <rPr>
        <sz val="12"/>
        <color theme="1"/>
        <rFont val="Arial"/>
        <family val="2"/>
      </rPr>
      <t>com liderança de custos.</t>
    </r>
  </si>
  <si>
    <r>
      <t xml:space="preserve">(   ) </t>
    </r>
    <r>
      <rPr>
        <b/>
        <sz val="12"/>
        <color theme="1"/>
        <rFont val="Arial"/>
        <family val="2"/>
      </rPr>
      <t xml:space="preserve">Enfoque, </t>
    </r>
    <r>
      <rPr>
        <sz val="12"/>
        <color theme="1"/>
        <rFont val="Arial"/>
        <family val="2"/>
      </rPr>
      <t>com diferenciação.</t>
    </r>
  </si>
  <si>
    <r>
      <t>37.  Atualmente, o pessoal do setor de produção faz horas extras?</t>
    </r>
    <r>
      <rPr>
        <sz val="12"/>
        <color theme="1"/>
        <rFont val="Arial"/>
        <family val="2"/>
      </rPr>
      <t xml:space="preserve"> Sim (  )  Não ( X ).</t>
    </r>
  </si>
  <si>
    <r>
      <t>38.  Existe interesse em adotar mais de um turno de trabalho para o setor produtivo? Em caso de resposta positiva, aponte a previsão de turnos de trabalhos em:</t>
    </r>
    <r>
      <rPr>
        <sz val="12"/>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</si>
</sst>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00_-;\-* #,##0.0000_-;_-* &quot;-&quot;??_-;_-@_-"/>
    <numFmt numFmtId="165" formatCode="_-* #,##0_-;\-* #,##0_-;_-* &quot;-&quot;??_-;_-@_-"/>
    <numFmt numFmtId="166"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sz val="11"/>
      <color theme="1"/>
      <name val="Arial"/>
      <family val="2"/>
    </font>
    <font>
      <sz val="12"/>
      <name val="Arial"/>
      <family val="2"/>
    </font>
    <font>
      <sz val="12"/>
      <color theme="1"/>
      <name val="Arial"/>
      <family val="2"/>
    </font>
    <font>
      <b/>
      <sz val="12"/>
      <color theme="1"/>
      <name val="Arial"/>
      <family val="2"/>
    </font>
    <font>
      <b/>
      <sz val="11"/>
      <color theme="1"/>
      <name val="Arial"/>
      <family val="2"/>
    </font>
    <font>
      <sz val="11"/>
      <name val="Calibri"/>
      <family val="2"/>
      <scheme val="minor"/>
    </font>
    <font>
      <b/>
      <sz val="9"/>
      <color indexed="81"/>
      <name val="Tahoma"/>
      <family val="2"/>
    </font>
    <font>
      <sz val="9"/>
      <color indexed="81"/>
      <name val="Tahoma"/>
      <family val="2"/>
    </font>
    <font>
      <i/>
      <sz val="12"/>
      <color theme="1"/>
      <name val="Arial"/>
      <family val="2"/>
    </font>
    <font>
      <vertAlign val="superscript"/>
      <sz val="12"/>
      <color theme="1"/>
      <name val="Arial"/>
      <family val="2"/>
    </font>
    <font>
      <b/>
      <vertAlign val="subscript"/>
      <sz val="12"/>
      <color theme="1"/>
      <name val="Arial"/>
      <family val="2"/>
    </font>
    <font>
      <b/>
      <vertAlign val="superscript"/>
      <sz val="12"/>
      <color theme="1"/>
      <name val="Arial"/>
      <family val="2"/>
    </font>
    <font>
      <b/>
      <i/>
      <sz val="12"/>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93">
    <xf numFmtId="0" fontId="0" fillId="0" borderId="0" xfId="0"/>
    <xf numFmtId="0" fontId="0" fillId="2" borderId="0" xfId="0" applyFill="1"/>
    <xf numFmtId="0" fontId="4" fillId="2" borderId="0" xfId="0" applyFont="1" applyFill="1"/>
    <xf numFmtId="0" fontId="3" fillId="2" borderId="4" xfId="0" applyFont="1" applyFill="1" applyBorder="1" applyAlignment="1">
      <alignment horizontal="left"/>
    </xf>
    <xf numFmtId="0" fontId="3" fillId="2" borderId="0" xfId="0" applyFont="1" applyFill="1" applyBorder="1" applyAlignment="1">
      <alignment horizontal="left"/>
    </xf>
    <xf numFmtId="0" fontId="3" fillId="2" borderId="5" xfId="0" applyFont="1" applyFill="1" applyBorder="1" applyAlignment="1">
      <alignment horizontal="left"/>
    </xf>
    <xf numFmtId="0" fontId="3" fillId="2" borderId="4" xfId="0" applyFont="1" applyFill="1" applyBorder="1"/>
    <xf numFmtId="43" fontId="3" fillId="2" borderId="0" xfId="1" applyFont="1" applyFill="1" applyBorder="1"/>
    <xf numFmtId="43" fontId="3" fillId="2" borderId="5" xfId="1" applyFont="1" applyFill="1" applyBorder="1"/>
    <xf numFmtId="0" fontId="5" fillId="2" borderId="4" xfId="0" applyFont="1" applyFill="1" applyBorder="1"/>
    <xf numFmtId="43" fontId="5" fillId="2" borderId="0" xfId="1" applyFont="1" applyFill="1" applyBorder="1"/>
    <xf numFmtId="43" fontId="5" fillId="2" borderId="5" xfId="1" applyFont="1" applyFill="1" applyBorder="1"/>
    <xf numFmtId="0" fontId="3" fillId="2" borderId="6" xfId="0" applyFont="1" applyFill="1" applyBorder="1"/>
    <xf numFmtId="43" fontId="3" fillId="2" borderId="7" xfId="1" applyFont="1" applyFill="1" applyBorder="1"/>
    <xf numFmtId="43" fontId="3" fillId="2" borderId="8" xfId="1" applyFont="1" applyFill="1" applyBorder="1"/>
    <xf numFmtId="0" fontId="3" fillId="2" borderId="9" xfId="0" applyFont="1" applyFill="1" applyBorder="1" applyAlignment="1">
      <alignment horizontal="left"/>
    </xf>
    <xf numFmtId="0" fontId="3" fillId="2" borderId="10" xfId="0" applyFont="1" applyFill="1" applyBorder="1" applyAlignment="1">
      <alignment horizontal="left"/>
    </xf>
    <xf numFmtId="0" fontId="3" fillId="2" borderId="11" xfId="0" applyFont="1" applyFill="1" applyBorder="1" applyAlignment="1">
      <alignment horizontal="left"/>
    </xf>
    <xf numFmtId="0" fontId="6" fillId="2" borderId="0" xfId="0" applyFont="1" applyFill="1"/>
    <xf numFmtId="0" fontId="6" fillId="2" borderId="1" xfId="0" applyFont="1" applyFill="1" applyBorder="1"/>
    <xf numFmtId="0" fontId="6" fillId="2" borderId="4" xfId="0" applyFont="1" applyFill="1" applyBorder="1"/>
    <xf numFmtId="0" fontId="6" fillId="2" borderId="0" xfId="0" applyFont="1" applyFill="1" applyBorder="1"/>
    <xf numFmtId="0" fontId="6" fillId="2" borderId="5" xfId="0" applyFont="1" applyFill="1" applyBorder="1"/>
    <xf numFmtId="0" fontId="6" fillId="2" borderId="6" xfId="0" applyFont="1" applyFill="1" applyBorder="1"/>
    <xf numFmtId="43" fontId="6" fillId="2" borderId="0" xfId="1" applyFont="1" applyFill="1" applyBorder="1"/>
    <xf numFmtId="43" fontId="6" fillId="2" borderId="5" xfId="1" applyFont="1" applyFill="1" applyBorder="1"/>
    <xf numFmtId="43" fontId="6" fillId="2" borderId="7" xfId="1" applyFont="1" applyFill="1" applyBorder="1"/>
    <xf numFmtId="43" fontId="6" fillId="2" borderId="8" xfId="1" applyFont="1" applyFill="1" applyBorder="1"/>
    <xf numFmtId="0" fontId="7" fillId="2" borderId="1" xfId="0" applyFont="1" applyFill="1" applyBorder="1"/>
    <xf numFmtId="0" fontId="7" fillId="2" borderId="2" xfId="0" applyFont="1" applyFill="1" applyBorder="1"/>
    <xf numFmtId="0" fontId="7" fillId="2" borderId="3" xfId="0" applyFont="1" applyFill="1" applyBorder="1"/>
    <xf numFmtId="0" fontId="7" fillId="2" borderId="4" xfId="0" applyFont="1" applyFill="1" applyBorder="1"/>
    <xf numFmtId="0" fontId="7" fillId="2" borderId="0"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xf numFmtId="0" fontId="7" fillId="2" borderId="8" xfId="0" applyFont="1" applyFill="1" applyBorder="1"/>
    <xf numFmtId="43" fontId="7" fillId="2" borderId="0" xfId="1" applyFont="1" applyFill="1" applyBorder="1"/>
    <xf numFmtId="43" fontId="7" fillId="2" borderId="5" xfId="1" applyFont="1" applyFill="1" applyBorder="1"/>
    <xf numFmtId="0" fontId="8" fillId="2" borderId="0" xfId="0" applyFont="1" applyFill="1"/>
    <xf numFmtId="43" fontId="7" fillId="2" borderId="7" xfId="1" applyFont="1" applyFill="1" applyBorder="1"/>
    <xf numFmtId="43" fontId="7" fillId="2" borderId="8" xfId="1" applyFont="1" applyFill="1" applyBorder="1"/>
    <xf numFmtId="0" fontId="5" fillId="2" borderId="0" xfId="0" applyFont="1" applyFill="1" applyBorder="1"/>
    <xf numFmtId="0" fontId="5" fillId="2" borderId="5" xfId="0" applyFont="1" applyFill="1" applyBorder="1"/>
    <xf numFmtId="43" fontId="3" fillId="2" borderId="0" xfId="1" applyFont="1" applyFill="1" applyBorder="1" applyAlignment="1"/>
    <xf numFmtId="0" fontId="5" fillId="2" borderId="6" xfId="0" applyFont="1" applyFill="1" applyBorder="1"/>
    <xf numFmtId="43" fontId="5" fillId="2" borderId="7" xfId="1" applyFont="1" applyFill="1" applyBorder="1"/>
    <xf numFmtId="43" fontId="5" fillId="2" borderId="8" xfId="1" applyFont="1" applyFill="1" applyBorder="1"/>
    <xf numFmtId="0" fontId="5" fillId="2" borderId="0" xfId="0" applyFont="1" applyFill="1"/>
    <xf numFmtId="0" fontId="7" fillId="2" borderId="1" xfId="0" applyFont="1" applyFill="1" applyBorder="1" applyAlignment="1">
      <alignment vertical="center"/>
    </xf>
    <xf numFmtId="3" fontId="7" fillId="2" borderId="3" xfId="0" applyNumberFormat="1" applyFont="1" applyFill="1" applyBorder="1" applyAlignment="1">
      <alignment vertical="center"/>
    </xf>
    <xf numFmtId="0" fontId="7" fillId="2" borderId="4" xfId="0" applyFont="1" applyFill="1" applyBorder="1" applyAlignment="1">
      <alignment vertical="center"/>
    </xf>
    <xf numFmtId="3" fontId="7" fillId="2" borderId="5" xfId="0" applyNumberFormat="1" applyFont="1" applyFill="1" applyBorder="1" applyAlignment="1">
      <alignment vertical="center"/>
    </xf>
    <xf numFmtId="0" fontId="7" fillId="2" borderId="5" xfId="0" applyFont="1" applyFill="1" applyBorder="1" applyAlignment="1">
      <alignment vertical="center"/>
    </xf>
    <xf numFmtId="3" fontId="6" fillId="2" borderId="5" xfId="0" applyNumberFormat="1"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8" xfId="0" applyFont="1" applyFill="1" applyBorder="1" applyAlignment="1">
      <alignment vertical="center"/>
    </xf>
    <xf numFmtId="3" fontId="6" fillId="2" borderId="8" xfId="0" applyNumberFormat="1" applyFont="1" applyFill="1" applyBorder="1" applyAlignment="1">
      <alignment vertical="center"/>
    </xf>
    <xf numFmtId="0" fontId="7" fillId="3" borderId="2" xfId="0" applyFont="1" applyFill="1" applyBorder="1" applyAlignment="1">
      <alignment vertical="center"/>
    </xf>
    <xf numFmtId="0" fontId="7" fillId="3" borderId="0" xfId="0" applyFont="1" applyFill="1" applyBorder="1" applyAlignment="1">
      <alignment vertical="center"/>
    </xf>
    <xf numFmtId="0" fontId="6" fillId="3" borderId="0" xfId="0" applyFont="1" applyFill="1" applyBorder="1" applyAlignment="1">
      <alignment vertical="center"/>
    </xf>
    <xf numFmtId="0" fontId="6" fillId="3" borderId="7" xfId="0" applyFont="1" applyFill="1" applyBorder="1" applyAlignment="1">
      <alignment vertical="center"/>
    </xf>
    <xf numFmtId="0" fontId="7" fillId="3" borderId="1" xfId="0" applyFont="1" applyFill="1" applyBorder="1" applyAlignment="1">
      <alignment vertical="center" wrapText="1"/>
    </xf>
    <xf numFmtId="3" fontId="7" fillId="3" borderId="3" xfId="0" applyNumberFormat="1" applyFont="1" applyFill="1" applyBorder="1" applyAlignment="1">
      <alignment horizontal="right" vertical="center" wrapText="1"/>
    </xf>
    <xf numFmtId="0" fontId="7" fillId="3" borderId="4" xfId="0" applyFont="1" applyFill="1" applyBorder="1" applyAlignment="1">
      <alignment vertical="center" wrapText="1"/>
    </xf>
    <xf numFmtId="0" fontId="7" fillId="3" borderId="5" xfId="0" applyFont="1" applyFill="1" applyBorder="1" applyAlignment="1">
      <alignment horizontal="right" vertical="center" wrapText="1"/>
    </xf>
    <xf numFmtId="3" fontId="7" fillId="3" borderId="5" xfId="0" applyNumberFormat="1" applyFont="1" applyFill="1" applyBorder="1" applyAlignment="1">
      <alignment horizontal="right" vertical="center" wrapText="1"/>
    </xf>
    <xf numFmtId="0" fontId="6" fillId="3" borderId="4" xfId="0" applyFont="1" applyFill="1" applyBorder="1" applyAlignment="1">
      <alignment vertical="center" wrapText="1"/>
    </xf>
    <xf numFmtId="0" fontId="6" fillId="3" borderId="5" xfId="0" applyFont="1" applyFill="1" applyBorder="1" applyAlignment="1">
      <alignment horizontal="right" vertical="center" wrapText="1"/>
    </xf>
    <xf numFmtId="3" fontId="6" fillId="3" borderId="5" xfId="0" applyNumberFormat="1" applyFont="1" applyFill="1" applyBorder="1" applyAlignment="1">
      <alignment horizontal="right" vertical="center" wrapText="1"/>
    </xf>
    <xf numFmtId="0" fontId="7" fillId="3" borderId="6" xfId="0" applyFont="1" applyFill="1" applyBorder="1" applyAlignment="1">
      <alignment vertical="center" wrapText="1"/>
    </xf>
    <xf numFmtId="0" fontId="7" fillId="3" borderId="8" xfId="0" applyFont="1" applyFill="1" applyBorder="1" applyAlignment="1">
      <alignment horizontal="right" vertical="center" wrapText="1"/>
    </xf>
    <xf numFmtId="10" fontId="6" fillId="2" borderId="0" xfId="2" applyNumberFormat="1" applyFont="1" applyFill="1" applyBorder="1"/>
    <xf numFmtId="164" fontId="5" fillId="2" borderId="0" xfId="1" applyNumberFormat="1" applyFont="1" applyFill="1" applyBorder="1"/>
    <xf numFmtId="10" fontId="6" fillId="2" borderId="5" xfId="2" applyNumberFormat="1" applyFont="1" applyFill="1" applyBorder="1"/>
    <xf numFmtId="0" fontId="3" fillId="2" borderId="4" xfId="0" quotePrefix="1" applyFont="1" applyFill="1" applyBorder="1" applyAlignment="1">
      <alignment horizontal="left"/>
    </xf>
    <xf numFmtId="0" fontId="5" fillId="2" borderId="4" xfId="0" quotePrefix="1" applyFont="1" applyFill="1" applyBorder="1" applyAlignment="1">
      <alignment horizontal="left"/>
    </xf>
    <xf numFmtId="43" fontId="7" fillId="2" borderId="10" xfId="1" applyFont="1" applyFill="1" applyBorder="1" applyAlignment="1">
      <alignment horizontal="left"/>
    </xf>
    <xf numFmtId="43" fontId="7" fillId="2" borderId="11" xfId="1" applyFont="1" applyFill="1" applyBorder="1" applyAlignment="1">
      <alignment horizontal="left"/>
    </xf>
    <xf numFmtId="43" fontId="3" fillId="2" borderId="10" xfId="1" applyFont="1" applyFill="1" applyBorder="1" applyAlignment="1">
      <alignment horizontal="left"/>
    </xf>
    <xf numFmtId="43" fontId="3" fillId="2" borderId="11" xfId="1" applyFont="1" applyFill="1" applyBorder="1" applyAlignment="1">
      <alignment horizontal="left"/>
    </xf>
    <xf numFmtId="10" fontId="5" fillId="2" borderId="0" xfId="2" applyNumberFormat="1" applyFont="1" applyFill="1" applyBorder="1"/>
    <xf numFmtId="10" fontId="5" fillId="2" borderId="5" xfId="2" applyNumberFormat="1" applyFont="1" applyFill="1" applyBorder="1"/>
    <xf numFmtId="164" fontId="3" fillId="2" borderId="0" xfId="1" applyNumberFormat="1" applyFont="1" applyFill="1" applyBorder="1"/>
    <xf numFmtId="164" fontId="3" fillId="2" borderId="7" xfId="1" applyNumberFormat="1" applyFont="1" applyFill="1" applyBorder="1"/>
    <xf numFmtId="164" fontId="6" fillId="2" borderId="0" xfId="1" applyNumberFormat="1" applyFont="1" applyFill="1" applyBorder="1"/>
    <xf numFmtId="0" fontId="2" fillId="2" borderId="0" xfId="0" applyFont="1" applyFill="1"/>
    <xf numFmtId="0" fontId="9" fillId="2" borderId="0" xfId="0" applyFont="1" applyFill="1"/>
    <xf numFmtId="43" fontId="5" fillId="2" borderId="0" xfId="0" applyNumberFormat="1" applyFont="1" applyFill="1" applyBorder="1"/>
    <xf numFmtId="43" fontId="5" fillId="2" borderId="5" xfId="0" applyNumberFormat="1" applyFont="1" applyFill="1" applyBorder="1"/>
    <xf numFmtId="0" fontId="5" fillId="2" borderId="7" xfId="0" applyFont="1" applyFill="1" applyBorder="1"/>
    <xf numFmtId="0" fontId="5" fillId="2" borderId="8" xfId="0" applyFont="1" applyFill="1" applyBorder="1"/>
    <xf numFmtId="43" fontId="5" fillId="2" borderId="7" xfId="0" applyNumberFormat="1" applyFont="1" applyFill="1" applyBorder="1"/>
    <xf numFmtId="43" fontId="5" fillId="2" borderId="8" xfId="0" applyNumberFormat="1" applyFont="1" applyFill="1" applyBorder="1"/>
    <xf numFmtId="0" fontId="3" fillId="2" borderId="1" xfId="0" applyFont="1" applyFill="1" applyBorder="1"/>
    <xf numFmtId="0" fontId="3" fillId="2" borderId="2" xfId="0" applyFont="1" applyFill="1" applyBorder="1"/>
    <xf numFmtId="0" fontId="3" fillId="2" borderId="3" xfId="0" applyFont="1" applyFill="1" applyBorder="1"/>
    <xf numFmtId="10" fontId="5" fillId="2" borderId="7" xfId="2" applyNumberFormat="1" applyFont="1" applyFill="1" applyBorder="1"/>
    <xf numFmtId="0" fontId="3" fillId="2" borderId="9" xfId="0" applyFont="1" applyFill="1" applyBorder="1"/>
    <xf numFmtId="43" fontId="3" fillId="2" borderId="2" xfId="1" applyFont="1" applyFill="1" applyBorder="1"/>
    <xf numFmtId="43" fontId="3" fillId="2" borderId="3" xfId="1" applyFont="1" applyFill="1" applyBorder="1"/>
    <xf numFmtId="0" fontId="7" fillId="2" borderId="9" xfId="0" applyFont="1" applyFill="1" applyBorder="1"/>
    <xf numFmtId="0" fontId="7" fillId="2" borderId="10" xfId="0" applyFont="1" applyFill="1" applyBorder="1"/>
    <xf numFmtId="0" fontId="7" fillId="2" borderId="11" xfId="0" applyFont="1" applyFill="1" applyBorder="1"/>
    <xf numFmtId="165" fontId="6" fillId="2" borderId="0" xfId="0" applyNumberFormat="1" applyFont="1" applyFill="1" applyBorder="1"/>
    <xf numFmtId="166" fontId="6" fillId="2" borderId="0" xfId="0" applyNumberFormat="1" applyFont="1" applyFill="1" applyBorder="1"/>
    <xf numFmtId="166" fontId="6" fillId="2" borderId="5" xfId="0" applyNumberFormat="1" applyFont="1" applyFill="1" applyBorder="1"/>
    <xf numFmtId="165" fontId="6" fillId="2" borderId="7" xfId="1" applyNumberFormat="1" applyFont="1" applyFill="1" applyBorder="1"/>
    <xf numFmtId="165" fontId="6" fillId="2" borderId="8" xfId="1" applyNumberFormat="1" applyFont="1" applyFill="1" applyBorder="1"/>
    <xf numFmtId="165" fontId="6" fillId="2" borderId="0" xfId="1" applyNumberFormat="1" applyFont="1" applyFill="1" applyBorder="1"/>
    <xf numFmtId="165" fontId="7" fillId="2" borderId="0" xfId="1" applyNumberFormat="1" applyFont="1" applyFill="1" applyBorder="1"/>
    <xf numFmtId="10" fontId="7" fillId="2" borderId="0" xfId="2" applyNumberFormat="1" applyFont="1" applyFill="1" applyBorder="1"/>
    <xf numFmtId="165" fontId="6" fillId="2" borderId="5" xfId="1" applyNumberFormat="1" applyFont="1" applyFill="1" applyBorder="1"/>
    <xf numFmtId="165" fontId="7" fillId="2" borderId="5" xfId="1" applyNumberFormat="1" applyFont="1" applyFill="1" applyBorder="1"/>
    <xf numFmtId="10" fontId="7" fillId="2" borderId="5" xfId="2" applyNumberFormat="1" applyFont="1" applyFill="1" applyBorder="1"/>
    <xf numFmtId="165" fontId="7" fillId="2" borderId="7" xfId="1" applyNumberFormat="1" applyFont="1" applyFill="1" applyBorder="1"/>
    <xf numFmtId="165" fontId="7" fillId="2" borderId="8" xfId="1" applyNumberFormat="1" applyFont="1" applyFill="1" applyBorder="1"/>
    <xf numFmtId="0" fontId="7" fillId="2" borderId="1" xfId="0" applyFont="1" applyFill="1" applyBorder="1" applyAlignment="1">
      <alignment horizontal="left"/>
    </xf>
    <xf numFmtId="0" fontId="7" fillId="2" borderId="2" xfId="0" applyFont="1" applyFill="1" applyBorder="1" applyAlignment="1">
      <alignment horizontal="left"/>
    </xf>
    <xf numFmtId="0" fontId="7" fillId="2" borderId="3" xfId="0" applyFont="1" applyFill="1" applyBorder="1" applyAlignment="1">
      <alignment horizontal="left"/>
    </xf>
    <xf numFmtId="0" fontId="6" fillId="2" borderId="6" xfId="0" applyFont="1" applyFill="1" applyBorder="1" applyAlignment="1">
      <alignment horizontal="left"/>
    </xf>
    <xf numFmtId="0" fontId="6" fillId="2" borderId="7" xfId="0" applyFont="1" applyFill="1" applyBorder="1" applyAlignment="1">
      <alignment horizontal="left"/>
    </xf>
    <xf numFmtId="0" fontId="6" fillId="2" borderId="8" xfId="0" applyFont="1" applyFill="1" applyBorder="1" applyAlignment="1">
      <alignment horizontal="left"/>
    </xf>
    <xf numFmtId="9" fontId="6" fillId="2" borderId="0" xfId="2" applyFont="1" applyFill="1" applyBorder="1"/>
    <xf numFmtId="9" fontId="6" fillId="2" borderId="5" xfId="2" applyFont="1" applyFill="1" applyBorder="1"/>
    <xf numFmtId="0" fontId="7" fillId="2" borderId="6" xfId="0" applyFont="1" applyFill="1" applyBorder="1" applyAlignment="1">
      <alignment horizontal="left" vertical="distributed"/>
    </xf>
    <xf numFmtId="43" fontId="7" fillId="2" borderId="9" xfId="1" applyFont="1" applyFill="1" applyBorder="1" applyAlignment="1">
      <alignment horizontal="left"/>
    </xf>
    <xf numFmtId="43" fontId="6" fillId="2" borderId="4" xfId="1" applyFont="1" applyFill="1" applyBorder="1"/>
    <xf numFmtId="43" fontId="6" fillId="2" borderId="0" xfId="1" applyFont="1" applyFill="1" applyBorder="1" applyAlignment="1"/>
    <xf numFmtId="43" fontId="6" fillId="2" borderId="5" xfId="1" applyFont="1" applyFill="1" applyBorder="1" applyAlignment="1"/>
    <xf numFmtId="43" fontId="7" fillId="2" borderId="0" xfId="1" applyFont="1" applyFill="1" applyBorder="1" applyAlignment="1"/>
    <xf numFmtId="43" fontId="7" fillId="2" borderId="9" xfId="1" applyFont="1" applyFill="1" applyBorder="1"/>
    <xf numFmtId="43" fontId="7" fillId="2" borderId="10" xfId="1" applyFont="1" applyFill="1" applyBorder="1" applyAlignment="1"/>
    <xf numFmtId="43" fontId="7" fillId="2" borderId="11" xfId="1" applyFont="1" applyFill="1" applyBorder="1" applyAlignment="1"/>
    <xf numFmtId="0" fontId="7" fillId="2" borderId="1" xfId="1" applyNumberFormat="1" applyFont="1" applyFill="1" applyBorder="1"/>
    <xf numFmtId="0" fontId="7" fillId="2" borderId="3" xfId="1" applyNumberFormat="1" applyFont="1" applyFill="1" applyBorder="1"/>
    <xf numFmtId="0" fontId="6" fillId="2" borderId="6" xfId="1" applyNumberFormat="1" applyFont="1" applyFill="1" applyBorder="1"/>
    <xf numFmtId="0" fontId="7" fillId="2" borderId="6" xfId="1" applyNumberFormat="1" applyFont="1" applyFill="1" applyBorder="1"/>
    <xf numFmtId="0" fontId="12" fillId="2" borderId="4" xfId="1" applyNumberFormat="1" applyFont="1" applyFill="1" applyBorder="1"/>
    <xf numFmtId="164" fontId="6" fillId="2" borderId="5" xfId="1" applyNumberFormat="1" applyFont="1" applyFill="1" applyBorder="1" applyAlignment="1">
      <alignment horizontal="center" vertical="center"/>
    </xf>
    <xf numFmtId="0" fontId="6" fillId="2" borderId="4" xfId="1" applyNumberFormat="1" applyFont="1" applyFill="1" applyBorder="1"/>
    <xf numFmtId="0" fontId="7" fillId="2" borderId="9" xfId="1" applyNumberFormat="1" applyFont="1" applyFill="1" applyBorder="1"/>
    <xf numFmtId="164" fontId="7" fillId="2" borderId="11" xfId="1" applyNumberFormat="1" applyFont="1" applyFill="1" applyBorder="1" applyAlignment="1">
      <alignment horizontal="center" vertical="center"/>
    </xf>
    <xf numFmtId="43" fontId="6" fillId="2" borderId="5" xfId="1" applyFont="1" applyFill="1" applyBorder="1" applyAlignment="1">
      <alignment horizontal="center" vertical="center"/>
    </xf>
    <xf numFmtId="43" fontId="7" fillId="2" borderId="11" xfId="1" applyFont="1" applyFill="1" applyBorder="1" applyAlignment="1">
      <alignment horizontal="center" vertical="center"/>
    </xf>
    <xf numFmtId="165" fontId="7" fillId="2" borderId="10" xfId="1" applyNumberFormat="1" applyFont="1" applyFill="1" applyBorder="1"/>
    <xf numFmtId="43" fontId="7" fillId="2" borderId="10" xfId="1" applyFont="1" applyFill="1" applyBorder="1"/>
    <xf numFmtId="43" fontId="7" fillId="2" borderId="11" xfId="1" applyFont="1" applyFill="1" applyBorder="1"/>
    <xf numFmtId="164" fontId="6" fillId="2" borderId="5" xfId="1" applyNumberFormat="1" applyFont="1" applyFill="1" applyBorder="1"/>
    <xf numFmtId="0" fontId="7" fillId="2" borderId="9" xfId="0" applyFont="1" applyFill="1" applyBorder="1" applyAlignment="1">
      <alignment vertical="center"/>
    </xf>
    <xf numFmtId="0" fontId="7" fillId="2" borderId="11" xfId="0" applyFont="1" applyFill="1" applyBorder="1" applyAlignment="1">
      <alignment vertical="center"/>
    </xf>
    <xf numFmtId="2" fontId="6" fillId="2" borderId="5" xfId="0" applyNumberFormat="1" applyFont="1" applyFill="1" applyBorder="1" applyAlignment="1">
      <alignment vertical="center"/>
    </xf>
    <xf numFmtId="0" fontId="12" fillId="2" borderId="4" xfId="0" applyFont="1" applyFill="1" applyBorder="1" applyAlignment="1">
      <alignment vertical="center"/>
    </xf>
    <xf numFmtId="3" fontId="7" fillId="2" borderId="11" xfId="0" applyNumberFormat="1" applyFont="1" applyFill="1" applyBorder="1" applyAlignment="1">
      <alignment vertical="center"/>
    </xf>
    <xf numFmtId="0" fontId="6" fillId="2" borderId="5" xfId="0" applyFont="1" applyFill="1" applyBorder="1" applyAlignment="1">
      <alignment horizontal="right" vertical="center"/>
    </xf>
    <xf numFmtId="0" fontId="7" fillId="2" borderId="6" xfId="0" applyFont="1" applyFill="1" applyBorder="1" applyAlignment="1">
      <alignment vertical="center"/>
    </xf>
    <xf numFmtId="3" fontId="7" fillId="2" borderId="8" xfId="0" applyNumberFormat="1" applyFont="1" applyFill="1" applyBorder="1" applyAlignment="1">
      <alignment vertical="center"/>
    </xf>
    <xf numFmtId="165" fontId="5" fillId="2" borderId="0" xfId="1" applyNumberFormat="1" applyFont="1" applyFill="1" applyBorder="1"/>
    <xf numFmtId="165" fontId="5" fillId="2" borderId="5" xfId="1" applyNumberFormat="1" applyFont="1" applyFill="1" applyBorder="1"/>
    <xf numFmtId="0" fontId="7"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justify" vertical="center"/>
    </xf>
    <xf numFmtId="0" fontId="6" fillId="2" borderId="0" xfId="0" applyFont="1" applyFill="1" applyAlignment="1">
      <alignment horizontal="justify" vertical="center"/>
    </xf>
    <xf numFmtId="9" fontId="6" fillId="2" borderId="0" xfId="0" applyNumberFormat="1" applyFont="1" applyFill="1" applyAlignment="1">
      <alignment horizontal="justify" vertical="center"/>
    </xf>
    <xf numFmtId="0" fontId="6" fillId="2" borderId="12" xfId="0" applyFont="1" applyFill="1" applyBorder="1" applyAlignment="1">
      <alignment horizontal="justify" vertical="center" wrapText="1"/>
    </xf>
    <xf numFmtId="0" fontId="7" fillId="2" borderId="12" xfId="0" applyFont="1" applyFill="1" applyBorder="1" applyAlignment="1">
      <alignment horizontal="justify" vertical="center" wrapText="1"/>
    </xf>
    <xf numFmtId="0" fontId="3" fillId="2" borderId="9" xfId="0" applyFont="1" applyFill="1" applyBorder="1" applyAlignment="1">
      <alignment horizontal="left"/>
    </xf>
    <xf numFmtId="0" fontId="3" fillId="2" borderId="10" xfId="0" applyFont="1" applyFill="1" applyBorder="1" applyAlignment="1">
      <alignment horizontal="left"/>
    </xf>
    <xf numFmtId="0" fontId="3" fillId="2" borderId="11" xfId="0" applyFont="1" applyFill="1" applyBorder="1" applyAlignment="1">
      <alignment horizontal="left"/>
    </xf>
    <xf numFmtId="0" fontId="7" fillId="2" borderId="1" xfId="0" applyFont="1" applyFill="1" applyBorder="1" applyAlignment="1">
      <alignment horizontal="left"/>
    </xf>
    <xf numFmtId="0" fontId="7" fillId="2" borderId="2" xfId="0" applyFont="1" applyFill="1" applyBorder="1" applyAlignment="1">
      <alignment horizontal="left"/>
    </xf>
    <xf numFmtId="0" fontId="7" fillId="2" borderId="3" xfId="0" applyFont="1" applyFill="1" applyBorder="1" applyAlignment="1">
      <alignment horizontal="left"/>
    </xf>
    <xf numFmtId="0" fontId="6" fillId="2" borderId="0" xfId="0" applyFont="1" applyFill="1" applyAlignment="1">
      <alignment horizontal="left" vertical="center"/>
    </xf>
    <xf numFmtId="0" fontId="7" fillId="2" borderId="9" xfId="0" applyFont="1" applyFill="1" applyBorder="1" applyAlignment="1">
      <alignment vertical="center"/>
    </xf>
    <xf numFmtId="0" fontId="7" fillId="2" borderId="10" xfId="0" applyFont="1" applyFill="1" applyBorder="1" applyAlignment="1">
      <alignment vertical="center"/>
    </xf>
    <xf numFmtId="0" fontId="7" fillId="2" borderId="11" xfId="0" applyFont="1" applyFill="1" applyBorder="1" applyAlignment="1">
      <alignment vertical="center"/>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7" fillId="3" borderId="11" xfId="0" applyFont="1" applyFill="1" applyBorder="1" applyAlignment="1">
      <alignment horizontal="left" vertic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165" fontId="7" fillId="2" borderId="0" xfId="1" applyNumberFormat="1" applyFont="1" applyFill="1" applyBorder="1" applyAlignment="1">
      <alignment horizontal="right"/>
    </xf>
    <xf numFmtId="0" fontId="4" fillId="2" borderId="7" xfId="0" applyFont="1" applyFill="1" applyBorder="1" applyAlignment="1">
      <alignment horizontal="right"/>
    </xf>
    <xf numFmtId="165" fontId="7" fillId="2" borderId="5" xfId="1" applyNumberFormat="1" applyFont="1" applyFill="1" applyBorder="1" applyAlignment="1">
      <alignment horizontal="right"/>
    </xf>
    <xf numFmtId="0" fontId="4" fillId="2" borderId="8" xfId="0" applyFont="1" applyFill="1" applyBorder="1" applyAlignment="1">
      <alignment horizontal="right"/>
    </xf>
    <xf numFmtId="0" fontId="7" fillId="2" borderId="4" xfId="0" applyFont="1" applyFill="1" applyBorder="1" applyAlignment="1">
      <alignment horizontal="left" vertical="distributed"/>
    </xf>
    <xf numFmtId="0" fontId="7" fillId="2" borderId="6" xfId="0" applyFont="1" applyFill="1" applyBorder="1" applyAlignment="1">
      <alignment horizontal="left" vertical="distributed"/>
    </xf>
    <xf numFmtId="165" fontId="7" fillId="2" borderId="7" xfId="1" applyNumberFormat="1" applyFont="1" applyFill="1" applyBorder="1" applyAlignment="1">
      <alignment horizontal="right"/>
    </xf>
    <xf numFmtId="0" fontId="7" fillId="2" borderId="10" xfId="0" applyFont="1" applyFill="1" applyBorder="1" applyAlignment="1">
      <alignment horizontal="center"/>
    </xf>
    <xf numFmtId="0" fontId="7" fillId="2" borderId="11" xfId="0" applyFont="1" applyFill="1" applyBorder="1" applyAlignment="1">
      <alignment horizontal="center"/>
    </xf>
  </cellXfs>
  <cellStyles count="3">
    <cellStyle name="Normal" xfId="0" builtinId="0"/>
    <cellStyle name="Porcentagem" xfId="2"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Google%20Drive/Pesquisas/ARTIGOS/Artigo%20Conclus&#227;o%20de%20Curso/Demonstrativos%20artig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Google%20Drive/Pesquisas/ARTIGOS/Artigo%20Conclus&#227;o%20de%20Curso/Proje&#231;&#245;es/Estrutura%20das%20Proje&#231;&#245;es%20REVIS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Google%20Drive/Pesquisas/ARTIGOS/Artigo%20Conclus&#227;o%20de%20Curso/Custo%20de%20Capital/C&#225;lculo%20WAC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Google%20Drive/Pesquisas/ARTIGOS/Artigo%20Conclus&#227;o%20de%20Curso/Valor/Valor%20corri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ivo"/>
      <sheetName val="Passivo"/>
      <sheetName val="DRE"/>
      <sheetName val="Faturamento + Gráfico"/>
      <sheetName val="Plan1"/>
      <sheetName val="Plan2"/>
      <sheetName val="Plan3"/>
    </sheetNames>
    <sheetDataSet>
      <sheetData sheetId="0">
        <row r="2">
          <cell r="C2">
            <v>2005</v>
          </cell>
          <cell r="D2">
            <v>2006</v>
          </cell>
          <cell r="E2">
            <v>2007</v>
          </cell>
          <cell r="F2">
            <v>2008</v>
          </cell>
          <cell r="G2">
            <v>2009</v>
          </cell>
          <cell r="H2">
            <v>2010</v>
          </cell>
          <cell r="I2">
            <v>2011</v>
          </cell>
        </row>
        <row r="3">
          <cell r="B3" t="str">
            <v>Ativo</v>
          </cell>
          <cell r="C3">
            <v>2243009.6800000002</v>
          </cell>
          <cell r="D3">
            <v>2169927.92</v>
          </cell>
          <cell r="E3">
            <v>2240629.15</v>
          </cell>
          <cell r="F3">
            <v>2837378.58</v>
          </cell>
          <cell r="G3">
            <v>2951864.01</v>
          </cell>
          <cell r="H3">
            <v>3297117.2800000003</v>
          </cell>
          <cell r="I3">
            <v>3748492.2</v>
          </cell>
        </row>
        <row r="4">
          <cell r="B4" t="str">
            <v>Ativo Circulante</v>
          </cell>
          <cell r="C4">
            <v>461444.46</v>
          </cell>
          <cell r="D4">
            <v>457410.04999999993</v>
          </cell>
          <cell r="E4">
            <v>582514.05000000005</v>
          </cell>
          <cell r="F4">
            <v>1152631.92</v>
          </cell>
          <cell r="G4">
            <v>1327327.48</v>
          </cell>
          <cell r="H4">
            <v>1686388.01</v>
          </cell>
          <cell r="I4">
            <v>2052338.86</v>
          </cell>
        </row>
        <row r="5">
          <cell r="B5" t="str">
            <v>Disponibilidades</v>
          </cell>
          <cell r="C5">
            <v>203942.16999999998</v>
          </cell>
          <cell r="D5">
            <v>131020.95999999999</v>
          </cell>
          <cell r="E5">
            <v>249680.25</v>
          </cell>
          <cell r="F5">
            <v>568439.74</v>
          </cell>
          <cell r="G5">
            <v>822884.47</v>
          </cell>
          <cell r="H5">
            <v>1131293.3899999999</v>
          </cell>
          <cell r="I5">
            <v>1239766.71</v>
          </cell>
        </row>
        <row r="6">
          <cell r="B6" t="str">
            <v>Caixa</v>
          </cell>
          <cell r="C6">
            <v>54426.41</v>
          </cell>
          <cell r="D6">
            <v>14099.75</v>
          </cell>
          <cell r="E6">
            <v>3306.79</v>
          </cell>
          <cell r="F6">
            <v>1962.77</v>
          </cell>
          <cell r="G6">
            <v>27051.67</v>
          </cell>
          <cell r="H6">
            <v>15767.68</v>
          </cell>
          <cell r="I6">
            <v>19174.09</v>
          </cell>
        </row>
        <row r="7">
          <cell r="B7" t="str">
            <v>Banco c/ Movimento</v>
          </cell>
          <cell r="C7">
            <v>19564.46</v>
          </cell>
          <cell r="D7">
            <v>26278.93</v>
          </cell>
          <cell r="E7">
            <v>26286.82</v>
          </cell>
          <cell r="F7">
            <v>28212.33</v>
          </cell>
          <cell r="G7">
            <v>52010.6</v>
          </cell>
          <cell r="H7">
            <v>119467.5</v>
          </cell>
          <cell r="I7">
            <v>41632.61</v>
          </cell>
        </row>
        <row r="8">
          <cell r="B8" t="str">
            <v>Aplicações Finaceiras</v>
          </cell>
          <cell r="C8">
            <v>129951.3</v>
          </cell>
          <cell r="D8">
            <v>90642.28</v>
          </cell>
          <cell r="E8">
            <v>220086.64</v>
          </cell>
          <cell r="F8">
            <v>538264.64</v>
          </cell>
          <cell r="G8">
            <v>743822.2</v>
          </cell>
          <cell r="H8">
            <v>996058.21</v>
          </cell>
          <cell r="I8">
            <v>1178960.01</v>
          </cell>
        </row>
        <row r="9">
          <cell r="B9" t="str">
            <v>Créditos</v>
          </cell>
          <cell r="C9">
            <v>153646.09</v>
          </cell>
          <cell r="D9">
            <v>186960.95999999996</v>
          </cell>
          <cell r="E9">
            <v>136014.88999999998</v>
          </cell>
          <cell r="F9">
            <v>263163.09000000003</v>
          </cell>
          <cell r="G9">
            <v>309364.99</v>
          </cell>
          <cell r="H9">
            <v>388523.31</v>
          </cell>
          <cell r="I9">
            <v>558718.62</v>
          </cell>
        </row>
        <row r="10">
          <cell r="B10" t="str">
            <v>Duplicatas a Receber</v>
          </cell>
          <cell r="C10">
            <v>117297.11</v>
          </cell>
          <cell r="D10">
            <v>130176.92</v>
          </cell>
          <cell r="E10">
            <v>135429.84</v>
          </cell>
          <cell r="F10">
            <v>263163.09000000003</v>
          </cell>
          <cell r="G10">
            <v>309364.99</v>
          </cell>
          <cell r="H10">
            <v>387742.79</v>
          </cell>
          <cell r="I10">
            <v>558429.47</v>
          </cell>
        </row>
        <row r="11">
          <cell r="B11" t="str">
            <v>Adiantamento a Fornecedores</v>
          </cell>
          <cell r="C11">
            <v>15144.25</v>
          </cell>
          <cell r="D11">
            <v>41619.25</v>
          </cell>
          <cell r="E11">
            <v>0</v>
          </cell>
          <cell r="F11">
            <v>0</v>
          </cell>
          <cell r="G11">
            <v>0</v>
          </cell>
          <cell r="H11">
            <v>491.37</v>
          </cell>
          <cell r="I11">
            <v>0</v>
          </cell>
        </row>
        <row r="12">
          <cell r="B12" t="str">
            <v>Mercadorias em Transito</v>
          </cell>
          <cell r="C12">
            <v>8504.5499999999993</v>
          </cell>
          <cell r="D12">
            <v>7223.05</v>
          </cell>
          <cell r="E12">
            <v>0</v>
          </cell>
          <cell r="F12">
            <v>0</v>
          </cell>
          <cell r="G12">
            <v>0</v>
          </cell>
          <cell r="H12">
            <v>0</v>
          </cell>
          <cell r="I12">
            <v>0</v>
          </cell>
        </row>
        <row r="13">
          <cell r="B13" t="str">
            <v>Créditos Diversos a Compensar</v>
          </cell>
          <cell r="C13">
            <v>8694.0400000000009</v>
          </cell>
          <cell r="D13">
            <v>7941.74</v>
          </cell>
          <cell r="E13">
            <v>585.04999999999995</v>
          </cell>
          <cell r="F13">
            <v>0</v>
          </cell>
          <cell r="G13">
            <v>0</v>
          </cell>
          <cell r="H13">
            <v>289.14999999999998</v>
          </cell>
          <cell r="I13">
            <v>289.14999999999998</v>
          </cell>
        </row>
        <row r="14">
          <cell r="B14" t="str">
            <v>Outros Valores e Bens</v>
          </cell>
          <cell r="C14">
            <v>4006.14</v>
          </cell>
          <cell r="D14">
            <v>0</v>
          </cell>
          <cell r="I14">
            <v>0</v>
          </cell>
        </row>
        <row r="15">
          <cell r="B15" t="str">
            <v>Estoques</v>
          </cell>
          <cell r="C15">
            <v>103856.2</v>
          </cell>
          <cell r="D15">
            <v>139428.13</v>
          </cell>
          <cell r="E15">
            <v>196818.90999999997</v>
          </cell>
          <cell r="F15">
            <v>318444.88</v>
          </cell>
          <cell r="G15">
            <v>195078.02000000002</v>
          </cell>
          <cell r="H15">
            <v>166571.31</v>
          </cell>
          <cell r="I15">
            <v>253853.52999999997</v>
          </cell>
        </row>
        <row r="16">
          <cell r="B16" t="str">
            <v>Estoques de Produtos</v>
          </cell>
          <cell r="C16">
            <v>103856.2</v>
          </cell>
          <cell r="D16">
            <v>139428.13</v>
          </cell>
          <cell r="E16">
            <v>196818.90999999997</v>
          </cell>
          <cell r="F16">
            <v>318444.88</v>
          </cell>
          <cell r="G16">
            <v>195078.02000000002</v>
          </cell>
          <cell r="H16">
            <v>166571.31</v>
          </cell>
          <cell r="I16">
            <v>0</v>
          </cell>
        </row>
        <row r="17">
          <cell r="B17" t="str">
            <v>Estoque de Matéria-Prima</v>
          </cell>
          <cell r="C17">
            <v>95547.7</v>
          </cell>
          <cell r="D17">
            <v>109186.09</v>
          </cell>
          <cell r="E17">
            <v>130061.73</v>
          </cell>
          <cell r="F17">
            <v>256142.27</v>
          </cell>
          <cell r="G17">
            <v>85055.16</v>
          </cell>
          <cell r="H17">
            <v>116916.94</v>
          </cell>
          <cell r="I17">
            <v>89895.67</v>
          </cell>
        </row>
        <row r="18">
          <cell r="B18" t="str">
            <v>Estoque de Produtos Acabados</v>
          </cell>
          <cell r="C18">
            <v>8308.5</v>
          </cell>
          <cell r="D18">
            <v>30242.04</v>
          </cell>
          <cell r="E18">
            <v>66757.179999999993</v>
          </cell>
          <cell r="F18">
            <v>62302.61</v>
          </cell>
          <cell r="G18">
            <v>110022.86</v>
          </cell>
          <cell r="H18">
            <v>49654.37</v>
          </cell>
          <cell r="I18">
            <v>163957.85999999999</v>
          </cell>
        </row>
        <row r="19">
          <cell r="B19" t="str">
            <v>Despesas Antecipadas</v>
          </cell>
          <cell r="C19">
            <v>0</v>
          </cell>
          <cell r="D19">
            <v>0</v>
          </cell>
          <cell r="E19">
            <v>0</v>
          </cell>
          <cell r="F19">
            <v>2584.21</v>
          </cell>
          <cell r="G19">
            <v>0</v>
          </cell>
          <cell r="H19">
            <v>0</v>
          </cell>
          <cell r="I19">
            <v>0</v>
          </cell>
        </row>
        <row r="20">
          <cell r="C20">
            <v>0</v>
          </cell>
          <cell r="D20">
            <v>0</v>
          </cell>
          <cell r="E20">
            <v>0</v>
          </cell>
          <cell r="F20">
            <v>0</v>
          </cell>
          <cell r="G20">
            <v>0</v>
          </cell>
          <cell r="H20">
            <v>0</v>
          </cell>
          <cell r="I20">
            <v>0</v>
          </cell>
        </row>
        <row r="21">
          <cell r="B21" t="str">
            <v>Ativo Não Circulante</v>
          </cell>
          <cell r="C21">
            <v>1781565.2200000002</v>
          </cell>
          <cell r="D21">
            <v>1712517.87</v>
          </cell>
          <cell r="E21">
            <v>1658115.0999999999</v>
          </cell>
          <cell r="F21">
            <v>1684746.6600000001</v>
          </cell>
          <cell r="G21">
            <v>1624536.53</v>
          </cell>
          <cell r="H21">
            <v>1610729.2700000003</v>
          </cell>
          <cell r="I21">
            <v>1696153.3399999999</v>
          </cell>
        </row>
        <row r="22">
          <cell r="B22" t="str">
            <v>Investimentos</v>
          </cell>
          <cell r="C22">
            <v>34735.03</v>
          </cell>
          <cell r="D22">
            <v>51381.32</v>
          </cell>
          <cell r="E22">
            <v>0</v>
          </cell>
          <cell r="F22">
            <v>0</v>
          </cell>
          <cell r="G22">
            <v>0</v>
          </cell>
          <cell r="H22">
            <v>0</v>
          </cell>
          <cell r="I22">
            <v>0</v>
          </cell>
        </row>
        <row r="23">
          <cell r="B23" t="str">
            <v>Imobilizado</v>
          </cell>
          <cell r="C23">
            <v>2030705.34</v>
          </cell>
          <cell r="D23">
            <v>1998400.34</v>
          </cell>
          <cell r="E23">
            <v>2060364.14</v>
          </cell>
          <cell r="F23">
            <v>2156606.87</v>
          </cell>
          <cell r="G23">
            <v>2173297</v>
          </cell>
          <cell r="H23">
            <v>2121414.9700000002</v>
          </cell>
          <cell r="I23">
            <v>2338869.5</v>
          </cell>
        </row>
        <row r="24">
          <cell r="B24" t="str">
            <v>Depreciações</v>
          </cell>
          <cell r="C24">
            <v>-283875.15000000002</v>
          </cell>
          <cell r="D24">
            <v>-337263.79</v>
          </cell>
          <cell r="E24">
            <v>-402249.04</v>
          </cell>
          <cell r="F24">
            <v>-471860.21</v>
          </cell>
          <cell r="G24">
            <v>-549109.47</v>
          </cell>
          <cell r="H24">
            <v>-510685.7</v>
          </cell>
          <cell r="I24">
            <v>-642716.16000000003</v>
          </cell>
        </row>
        <row r="25">
          <cell r="B25" t="str">
            <v>Intangível</v>
          </cell>
          <cell r="C25">
            <v>0</v>
          </cell>
          <cell r="D25">
            <v>0</v>
          </cell>
          <cell r="E25">
            <v>0</v>
          </cell>
          <cell r="F25">
            <v>0</v>
          </cell>
          <cell r="G25">
            <v>349</v>
          </cell>
          <cell r="H25">
            <v>0</v>
          </cell>
          <cell r="I25">
            <v>0</v>
          </cell>
        </row>
      </sheetData>
      <sheetData sheetId="1"/>
      <sheetData sheetId="2">
        <row r="2">
          <cell r="C2">
            <v>2005</v>
          </cell>
          <cell r="D2">
            <v>2006</v>
          </cell>
          <cell r="E2">
            <v>2007</v>
          </cell>
          <cell r="F2">
            <v>2008</v>
          </cell>
          <cell r="G2">
            <v>2009</v>
          </cell>
          <cell r="H2">
            <v>2010</v>
          </cell>
          <cell r="I2">
            <v>2011</v>
          </cell>
        </row>
        <row r="3">
          <cell r="B3" t="str">
            <v>Receita Operacional</v>
          </cell>
          <cell r="C3">
            <v>1053016.03</v>
          </cell>
          <cell r="D3">
            <v>901200.5</v>
          </cell>
          <cell r="E3">
            <v>1293309.31</v>
          </cell>
          <cell r="F3">
            <v>2051647.1</v>
          </cell>
          <cell r="G3">
            <v>1526547.28</v>
          </cell>
          <cell r="H3">
            <v>1905565.6300000001</v>
          </cell>
          <cell r="I3">
            <v>2303206.5700000003</v>
          </cell>
        </row>
        <row r="7">
          <cell r="B7" t="str">
            <v>Deduções da Receita Opecional</v>
          </cell>
          <cell r="C7">
            <v>-103663.77</v>
          </cell>
          <cell r="D7">
            <v>-87551</v>
          </cell>
          <cell r="E7">
            <v>-113114.88</v>
          </cell>
          <cell r="F7">
            <v>-377387.2</v>
          </cell>
          <cell r="G7">
            <v>-160603.96</v>
          </cell>
          <cell r="H7">
            <v>-238737.44</v>
          </cell>
          <cell r="I7">
            <v>-279739.59000000003</v>
          </cell>
        </row>
        <row r="9">
          <cell r="B9" t="str">
            <v>Receita Operacional Líquida</v>
          </cell>
          <cell r="C9">
            <v>949352.26</v>
          </cell>
          <cell r="D9">
            <v>813649.5</v>
          </cell>
          <cell r="E9">
            <v>1180194.4300000002</v>
          </cell>
          <cell r="F9">
            <v>1674259.9000000001</v>
          </cell>
          <cell r="G9">
            <v>1365943.32</v>
          </cell>
          <cell r="H9">
            <v>1666828.1900000002</v>
          </cell>
          <cell r="I9">
            <v>2023466.9800000002</v>
          </cell>
        </row>
        <row r="11">
          <cell r="B11" t="str">
            <v>Custo dos Produtos/Mercadorias Vendidos</v>
          </cell>
          <cell r="C11">
            <v>-331141.8</v>
          </cell>
          <cell r="D11">
            <v>-241842.28</v>
          </cell>
          <cell r="E11">
            <v>-379097.29</v>
          </cell>
          <cell r="F11">
            <v>-464062.32</v>
          </cell>
          <cell r="G11">
            <v>-200324.99</v>
          </cell>
          <cell r="H11">
            <v>-220679.29</v>
          </cell>
          <cell r="I11">
            <v>-366784.22</v>
          </cell>
        </row>
        <row r="12">
          <cell r="B12" t="str">
            <v>Lucro Bruto</v>
          </cell>
          <cell r="C12">
            <v>618210.46</v>
          </cell>
          <cell r="D12">
            <v>571807.22</v>
          </cell>
          <cell r="E12">
            <v>801097.14000000013</v>
          </cell>
          <cell r="F12">
            <v>1210197.58</v>
          </cell>
          <cell r="G12">
            <v>1165618.33</v>
          </cell>
          <cell r="H12">
            <v>1446148.9000000001</v>
          </cell>
          <cell r="I12">
            <v>1656682.7600000002</v>
          </cell>
        </row>
        <row r="14">
          <cell r="B14" t="str">
            <v>Despesas Operacionais</v>
          </cell>
          <cell r="C14">
            <v>-562001.51</v>
          </cell>
          <cell r="D14">
            <v>-649195.44000000006</v>
          </cell>
          <cell r="E14">
            <v>-650294.87</v>
          </cell>
          <cell r="F14">
            <v>-657978.87</v>
          </cell>
          <cell r="G14">
            <v>-779974.35</v>
          </cell>
          <cell r="H14">
            <v>-885012.38</v>
          </cell>
          <cell r="I14">
            <v>-1283124.6600000001</v>
          </cell>
        </row>
        <row r="15">
          <cell r="B15" t="str">
            <v>Operacionais</v>
          </cell>
          <cell r="I15">
            <v>0</v>
          </cell>
        </row>
        <row r="16">
          <cell r="B16" t="str">
            <v>Com Vendas</v>
          </cell>
          <cell r="C16">
            <v>31540.29</v>
          </cell>
          <cell r="D16">
            <v>45898.18</v>
          </cell>
          <cell r="E16">
            <v>55056.28</v>
          </cell>
          <cell r="F16">
            <v>100493.49</v>
          </cell>
          <cell r="G16">
            <v>92444.6</v>
          </cell>
          <cell r="H16">
            <v>127184.34</v>
          </cell>
          <cell r="I16">
            <v>-247794.14</v>
          </cell>
        </row>
        <row r="17">
          <cell r="B17" t="str">
            <v>Administrativas</v>
          </cell>
          <cell r="C17">
            <v>530461.22</v>
          </cell>
          <cell r="D17">
            <v>603297.26</v>
          </cell>
          <cell r="E17">
            <v>595238.59</v>
          </cell>
          <cell r="F17">
            <v>557485.38</v>
          </cell>
          <cell r="G17">
            <v>687529.75</v>
          </cell>
          <cell r="H17">
            <v>757828.04</v>
          </cell>
          <cell r="I17">
            <v>-1035330.52</v>
          </cell>
        </row>
        <row r="19">
          <cell r="B19" t="str">
            <v>Despesas Financeiras</v>
          </cell>
          <cell r="C19">
            <v>-2459.1799999999998</v>
          </cell>
          <cell r="D19">
            <v>-2813.17</v>
          </cell>
          <cell r="E19">
            <v>-13663.63</v>
          </cell>
          <cell r="F19">
            <v>-6854</v>
          </cell>
          <cell r="G19">
            <v>-15165.77</v>
          </cell>
          <cell r="H19">
            <v>-7386.1</v>
          </cell>
          <cell r="I19">
            <v>-21719.98</v>
          </cell>
        </row>
        <row r="21">
          <cell r="B21" t="str">
            <v>Outras Despesas Operacionais</v>
          </cell>
          <cell r="C21">
            <v>-32258.17</v>
          </cell>
          <cell r="D21">
            <v>-20501.490000000002</v>
          </cell>
          <cell r="E21">
            <v>-37540.1</v>
          </cell>
          <cell r="F21">
            <v>-146379.97</v>
          </cell>
          <cell r="G21">
            <v>-162790.78</v>
          </cell>
          <cell r="H21">
            <v>-170702.57</v>
          </cell>
          <cell r="I21">
            <v>-143015.47</v>
          </cell>
        </row>
        <row r="22">
          <cell r="B22" t="str">
            <v>Outras Receitas Operacionais</v>
          </cell>
          <cell r="C22">
            <v>4360.25</v>
          </cell>
          <cell r="D22">
            <v>789</v>
          </cell>
          <cell r="E22">
            <v>12070.51</v>
          </cell>
          <cell r="F22">
            <v>34503.839999999997</v>
          </cell>
          <cell r="G22">
            <v>44390.93</v>
          </cell>
          <cell r="H22">
            <v>69402.820000000007</v>
          </cell>
          <cell r="I22">
            <v>122295.86</v>
          </cell>
        </row>
        <row r="24">
          <cell r="B24" t="str">
            <v>Despesas Não Operacionais</v>
          </cell>
          <cell r="C24">
            <v>-6082.42</v>
          </cell>
          <cell r="D24">
            <v>0</v>
          </cell>
          <cell r="E24">
            <v>0</v>
          </cell>
          <cell r="F24">
            <v>0</v>
          </cell>
          <cell r="G24">
            <v>0</v>
          </cell>
          <cell r="H24">
            <v>0</v>
          </cell>
          <cell r="I24">
            <v>0</v>
          </cell>
        </row>
        <row r="26">
          <cell r="B26" t="str">
            <v>Resultado Operacional</v>
          </cell>
          <cell r="C26">
            <v>19769.429999999957</v>
          </cell>
          <cell r="D26">
            <v>-99913.880000000092</v>
          </cell>
          <cell r="E26">
            <v>111669.05000000012</v>
          </cell>
          <cell r="F26">
            <v>433488.58000000007</v>
          </cell>
          <cell r="G26">
            <v>252078.36000000007</v>
          </cell>
          <cell r="H26">
            <v>452450.67000000016</v>
          </cell>
          <cell r="I26">
            <v>331118.51000000013</v>
          </cell>
        </row>
        <row r="27">
          <cell r="B27" t="str">
            <v>Lucro Antes do IR</v>
          </cell>
          <cell r="C27">
            <v>19769.429999999957</v>
          </cell>
          <cell r="D27">
            <v>-99913.880000000092</v>
          </cell>
          <cell r="E27">
            <v>111669.05000000012</v>
          </cell>
          <cell r="F27">
            <v>433488.58000000007</v>
          </cell>
          <cell r="G27">
            <v>252078.36000000007</v>
          </cell>
          <cell r="H27">
            <v>452450.67000000016</v>
          </cell>
          <cell r="I27">
            <v>331118.51000000013</v>
          </cell>
        </row>
        <row r="28">
          <cell r="B28" t="str">
            <v>Resultado Líquido</v>
          </cell>
          <cell r="C28">
            <v>19769.429999999957</v>
          </cell>
          <cell r="D28">
            <v>-99913.880000000092</v>
          </cell>
          <cell r="E28">
            <v>111669.05000000012</v>
          </cell>
          <cell r="F28">
            <v>433488.58000000007</v>
          </cell>
          <cell r="G28">
            <v>252078.36000000007</v>
          </cell>
          <cell r="H28">
            <v>452450.67000000016</v>
          </cell>
          <cell r="I28">
            <v>331118.51000000013</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E"/>
      <sheetName val="Capital de Giro"/>
      <sheetName val="Imobilizado"/>
      <sheetName val="Espelho AH"/>
      <sheetName val="F"/>
      <sheetName val="Plan2"/>
      <sheetName val="Fluxo de Caixa "/>
      <sheetName val="Plan3"/>
      <sheetName val="Quadro Receita e Crescimento"/>
      <sheetName val="Quadro Custos"/>
      <sheetName val="Quadro DADM"/>
      <sheetName val="Quadro DCom"/>
      <sheetName val="Quadro DRE"/>
      <sheetName val="Quadro CG"/>
      <sheetName val="Quadro FC"/>
      <sheetName val="Quadro Imob"/>
      <sheetName val="DO"/>
    </sheetNames>
    <sheetDataSet>
      <sheetData sheetId="0">
        <row r="4">
          <cell r="B4" t="str">
            <v>DRE</v>
          </cell>
          <cell r="D4" t="str">
            <v>Ano 1</v>
          </cell>
          <cell r="E4" t="str">
            <v>Ano 2</v>
          </cell>
          <cell r="F4" t="str">
            <v>Ano 3</v>
          </cell>
          <cell r="G4" t="str">
            <v>Ano 4</v>
          </cell>
          <cell r="H4" t="str">
            <v>Ano 5</v>
          </cell>
          <cell r="I4" t="str">
            <v>Ano 6</v>
          </cell>
          <cell r="J4" t="str">
            <v>Ano 7</v>
          </cell>
          <cell r="K4" t="str">
            <v>Ano 8</v>
          </cell>
          <cell r="L4" t="str">
            <v>Ano 9</v>
          </cell>
          <cell r="M4" t="str">
            <v>Ano 10</v>
          </cell>
        </row>
        <row r="6">
          <cell r="B6" t="str">
            <v>Receita Líquida</v>
          </cell>
          <cell r="D6">
            <v>5676027.225598</v>
          </cell>
          <cell r="E6">
            <v>12544020.16857158</v>
          </cell>
          <cell r="F6">
            <v>22689623.680912271</v>
          </cell>
          <cell r="G6">
            <v>34762772.44152569</v>
          </cell>
          <cell r="H6">
            <v>44458109.675467208</v>
          </cell>
          <cell r="I6">
            <v>51393574.784840092</v>
          </cell>
          <cell r="J6">
            <v>56327357.964184739</v>
          </cell>
          <cell r="K6">
            <v>59797123.21477852</v>
          </cell>
          <cell r="L6">
            <v>61052862.802288868</v>
          </cell>
          <cell r="M6">
            <v>62334972.921136931</v>
          </cell>
        </row>
        <row r="7">
          <cell r="D7">
            <v>1.8050999999999999</v>
          </cell>
          <cell r="E7">
            <v>1.21</v>
          </cell>
          <cell r="F7">
            <v>0.80879999999999996</v>
          </cell>
          <cell r="G7">
            <v>0.53210000000000002</v>
          </cell>
          <cell r="H7">
            <v>0.27889999999999998</v>
          </cell>
          <cell r="I7">
            <v>0.156</v>
          </cell>
          <cell r="J7">
            <v>9.6000000000000002E-2</v>
          </cell>
          <cell r="K7">
            <v>6.1600000000000002E-2</v>
          </cell>
          <cell r="L7">
            <v>2.1000000000000001E-2</v>
          </cell>
          <cell r="M7">
            <v>2.1000000000000001E-2</v>
          </cell>
        </row>
        <row r="9">
          <cell r="B9" t="str">
            <v>CPV</v>
          </cell>
          <cell r="D9">
            <v>2037815.9526147095</v>
          </cell>
          <cell r="E9">
            <v>4165628.7673897399</v>
          </cell>
          <cell r="F9">
            <v>7258629.1779680047</v>
          </cell>
          <cell r="G9">
            <v>10916599.965823635</v>
          </cell>
          <cell r="H9">
            <v>13866353.017588513</v>
          </cell>
          <cell r="I9">
            <v>16012372.832787801</v>
          </cell>
          <cell r="J9">
            <v>17565177.041576471</v>
          </cell>
          <cell r="K9">
            <v>18694100.778679825</v>
          </cell>
          <cell r="L9">
            <v>19176766.960043892</v>
          </cell>
          <cell r="M9">
            <v>19678966.187377546</v>
          </cell>
        </row>
        <row r="10">
          <cell r="B10" t="str">
            <v>Custos Variáveis</v>
          </cell>
          <cell r="D10">
            <v>1664211.1825453336</v>
          </cell>
          <cell r="E10">
            <v>3677906.7134251874</v>
          </cell>
          <cell r="F10">
            <v>6652597.6632434772</v>
          </cell>
          <cell r="G10">
            <v>10192444.879855331</v>
          </cell>
          <cell r="H10">
            <v>13035117.756846985</v>
          </cell>
          <cell r="I10">
            <v>15068596.126915116</v>
          </cell>
          <cell r="J10">
            <v>16515181.355098965</v>
          </cell>
          <cell r="K10">
            <v>17532516.526573062</v>
          </cell>
          <cell r="L10">
            <v>17900699.373631094</v>
          </cell>
          <cell r="M10">
            <v>18276614.060477346</v>
          </cell>
        </row>
        <row r="13">
          <cell r="B13" t="str">
            <v>Custos Fixos</v>
          </cell>
          <cell r="D13">
            <v>373604.77006937581</v>
          </cell>
          <cell r="E13">
            <v>487722.05396455259</v>
          </cell>
          <cell r="F13">
            <v>606031.51472452772</v>
          </cell>
          <cell r="G13">
            <v>724155.08596830431</v>
          </cell>
          <cell r="H13">
            <v>831235.26074152894</v>
          </cell>
          <cell r="I13">
            <v>943776.70587268483</v>
          </cell>
          <cell r="J13">
            <v>1049995.6864775054</v>
          </cell>
          <cell r="K13">
            <v>1161584.2521067641</v>
          </cell>
          <cell r="L13">
            <v>1276067.5864128005</v>
          </cell>
          <cell r="M13">
            <v>1402352.1269001998</v>
          </cell>
        </row>
        <row r="14">
          <cell r="D14">
            <v>307084.30434772081</v>
          </cell>
          <cell r="E14">
            <v>419538.5765998562</v>
          </cell>
          <cell r="F14">
            <v>536143.45042571391</v>
          </cell>
          <cell r="G14">
            <v>652519.82006202021</v>
          </cell>
          <cell r="H14">
            <v>757809.1131875877</v>
          </cell>
          <cell r="I14">
            <v>859598.03327094449</v>
          </cell>
          <cell r="J14">
            <v>963712.54706072144</v>
          </cell>
          <cell r="K14">
            <v>1073144.0342045608</v>
          </cell>
          <cell r="L14">
            <v>1185416.3630630421</v>
          </cell>
          <cell r="M14">
            <v>1309434.6229666974</v>
          </cell>
        </row>
        <row r="15">
          <cell r="D15">
            <v>66520.465721654997</v>
          </cell>
          <cell r="E15">
            <v>68183.477364696373</v>
          </cell>
          <cell r="F15">
            <v>69888.06429881377</v>
          </cell>
          <cell r="G15">
            <v>71635.265906284098</v>
          </cell>
          <cell r="H15">
            <v>73426.147553941191</v>
          </cell>
          <cell r="I15">
            <v>84178.672601740342</v>
          </cell>
          <cell r="J15">
            <v>86283.139416783844</v>
          </cell>
          <cell r="K15">
            <v>88440.217902203425</v>
          </cell>
          <cell r="L15">
            <v>90651.223349758497</v>
          </cell>
          <cell r="M15">
            <v>92917.503933502463</v>
          </cell>
        </row>
        <row r="17">
          <cell r="B17" t="str">
            <v>Lucro Bruto</v>
          </cell>
          <cell r="D17">
            <v>3638211.2729832903</v>
          </cell>
          <cell r="E17">
            <v>8378391.4011818403</v>
          </cell>
          <cell r="F17">
            <v>15430994.502944266</v>
          </cell>
          <cell r="G17">
            <v>23846172.475702055</v>
          </cell>
          <cell r="H17">
            <v>30591756.657878697</v>
          </cell>
          <cell r="I17">
            <v>35381201.952052295</v>
          </cell>
          <cell r="J17">
            <v>38762180.922608271</v>
          </cell>
          <cell r="K17">
            <v>41103022.436098695</v>
          </cell>
          <cell r="L17">
            <v>41876095.842244975</v>
          </cell>
          <cell r="M17">
            <v>42656006.733759388</v>
          </cell>
        </row>
        <row r="19">
          <cell r="B19" t="str">
            <v>Despesas Operacionais</v>
          </cell>
          <cell r="D19">
            <v>3205084.7977179512</v>
          </cell>
          <cell r="E19">
            <v>5749805.5552988434</v>
          </cell>
          <cell r="F19">
            <v>9423045.8848037422</v>
          </cell>
          <cell r="G19">
            <v>13757778.420530915</v>
          </cell>
          <cell r="H19">
            <v>17257106.427488498</v>
          </cell>
          <cell r="I19">
            <v>19834624.504404653</v>
          </cell>
          <cell r="J19">
            <v>21689851.656777598</v>
          </cell>
          <cell r="K19">
            <v>23046998.726105791</v>
          </cell>
          <cell r="L19">
            <v>23645308.558950204</v>
          </cell>
          <cell r="M19">
            <v>24268444.911262788</v>
          </cell>
        </row>
        <row r="20">
          <cell r="B20" t="str">
            <v>Despesas Administrativas</v>
          </cell>
          <cell r="D20">
            <v>592883.42272280704</v>
          </cell>
          <cell r="E20">
            <v>640726.21079016989</v>
          </cell>
          <cell r="F20">
            <v>685006.70915567479</v>
          </cell>
          <cell r="G20">
            <v>726761.04929292807</v>
          </cell>
          <cell r="H20">
            <v>765295.67220146745</v>
          </cell>
          <cell r="I20">
            <v>833236.39493718231</v>
          </cell>
          <cell r="J20">
            <v>873637.98101392342</v>
          </cell>
          <cell r="K20">
            <v>916380.5722920933</v>
          </cell>
          <cell r="L20">
            <v>961383.67629818479</v>
          </cell>
          <cell r="M20">
            <v>1010343.4081713348</v>
          </cell>
        </row>
        <row r="21">
          <cell r="D21">
            <v>162135.69839565567</v>
          </cell>
          <cell r="E21">
            <v>189139.39896345214</v>
          </cell>
          <cell r="F21">
            <v>216467.01588328759</v>
          </cell>
          <cell r="G21">
            <v>244448.73292494871</v>
          </cell>
          <cell r="H21">
            <v>272643.32755614584</v>
          </cell>
          <cell r="I21">
            <v>302246.94006219215</v>
          </cell>
          <cell r="J21">
            <v>334067.49791193969</v>
          </cell>
          <cell r="K21">
            <v>368606.06838605931</v>
          </cell>
          <cell r="L21">
            <v>405892.41523365118</v>
          </cell>
          <cell r="M21">
            <v>446950.46249661117</v>
          </cell>
        </row>
        <row r="24">
          <cell r="D24">
            <v>28053.926895348752</v>
          </cell>
          <cell r="E24">
            <v>28755.275067732469</v>
          </cell>
          <cell r="F24">
            <v>29474.156944425773</v>
          </cell>
          <cell r="G24">
            <v>30211.01086803641</v>
          </cell>
          <cell r="H24">
            <v>30966.286139737316</v>
          </cell>
          <cell r="I24">
            <v>35500.989082040447</v>
          </cell>
          <cell r="J24">
            <v>36388.513809091462</v>
          </cell>
          <cell r="K24">
            <v>37298.226654318743</v>
          </cell>
          <cell r="L24">
            <v>38230.682320676708</v>
          </cell>
          <cell r="M24">
            <v>39186.449378693622</v>
          </cell>
        </row>
        <row r="26">
          <cell r="B26" t="str">
            <v>Despesas Comerciais</v>
          </cell>
          <cell r="D26">
            <v>2569334.3741663718</v>
          </cell>
          <cell r="E26">
            <v>5042387.2761607263</v>
          </cell>
          <cell r="F26">
            <v>8637496.833710609</v>
          </cell>
          <cell r="G26">
            <v>12890856.54987248</v>
          </cell>
          <cell r="H26">
            <v>16320081.425120996</v>
          </cell>
          <cell r="I26">
            <v>18807152.851363186</v>
          </cell>
          <cell r="J26">
            <v>20605995.041549586</v>
          </cell>
          <cell r="K26">
            <v>21909169.769726034</v>
          </cell>
          <cell r="L26">
            <v>22458414.740866728</v>
          </cell>
          <cell r="M26">
            <v>23028445.126787119</v>
          </cell>
        </row>
        <row r="27">
          <cell r="D27">
            <v>421281.30421505804</v>
          </cell>
          <cell r="E27">
            <v>519481.97622758808</v>
          </cell>
          <cell r="F27">
            <v>617647.44631136302</v>
          </cell>
          <cell r="G27">
            <v>715563.71362254967</v>
          </cell>
          <cell r="H27">
            <v>809072.86415503093</v>
          </cell>
          <cell r="I27">
            <v>903863.84091943444</v>
          </cell>
          <cell r="J27">
            <v>1003795.0271714872</v>
          </cell>
          <cell r="K27">
            <v>1110976.24499275</v>
          </cell>
          <cell r="L27">
            <v>1224640.2246179583</v>
          </cell>
          <cell r="M27">
            <v>1349933.1659986216</v>
          </cell>
        </row>
        <row r="32">
          <cell r="D32">
            <v>42074.057920496249</v>
          </cell>
          <cell r="E32">
            <v>43125.909368508655</v>
          </cell>
          <cell r="F32">
            <v>44204.057102721359</v>
          </cell>
          <cell r="G32">
            <v>45309.158530289387</v>
          </cell>
          <cell r="H32">
            <v>46441.887493546616</v>
          </cell>
          <cell r="I32">
            <v>53242.83749810158</v>
          </cell>
          <cell r="J32">
            <v>54573.90843555412</v>
          </cell>
          <cell r="K32">
            <v>55938.25614644296</v>
          </cell>
          <cell r="L32">
            <v>57336.712550104035</v>
          </cell>
          <cell r="M32">
            <v>58770.130363856631</v>
          </cell>
        </row>
        <row r="34">
          <cell r="B34" t="str">
            <v>Despesas Tributárias</v>
          </cell>
          <cell r="D34">
            <v>3035.2004699999998</v>
          </cell>
          <cell r="E34">
            <v>3035.2004699999998</v>
          </cell>
          <cell r="F34">
            <v>3035.2004699999998</v>
          </cell>
          <cell r="G34">
            <v>3035.2004699999998</v>
          </cell>
          <cell r="H34">
            <v>3035.2004699999998</v>
          </cell>
          <cell r="I34">
            <v>3035.2004699999998</v>
          </cell>
          <cell r="J34">
            <v>3035.2004699999998</v>
          </cell>
          <cell r="K34">
            <v>3035.2004699999998</v>
          </cell>
          <cell r="L34">
            <v>3035.2004699999998</v>
          </cell>
          <cell r="M34">
            <v>3035.2004699999998</v>
          </cell>
        </row>
        <row r="37">
          <cell r="B37" t="str">
            <v xml:space="preserve">Outras Receitas </v>
          </cell>
          <cell r="D37">
            <v>10216.8490060764</v>
          </cell>
          <cell r="E37">
            <v>22579.236303428843</v>
          </cell>
          <cell r="F37">
            <v>40841.322625642089</v>
          </cell>
          <cell r="G37">
            <v>62572.990394746237</v>
          </cell>
          <cell r="H37">
            <v>80024.597415840966</v>
          </cell>
          <cell r="I37">
            <v>92508.434612712168</v>
          </cell>
          <cell r="J37">
            <v>101389.24433553252</v>
          </cell>
          <cell r="K37">
            <v>107634.82178660133</v>
          </cell>
          <cell r="L37">
            <v>109895.15304411996</v>
          </cell>
          <cell r="M37">
            <v>112202.95125804647</v>
          </cell>
        </row>
        <row r="38">
          <cell r="B38" t="str">
            <v xml:space="preserve">Outras Despesas </v>
          </cell>
          <cell r="D38">
            <v>28380.136127990001</v>
          </cell>
          <cell r="E38">
            <v>62720.100842857901</v>
          </cell>
          <cell r="F38">
            <v>113448.11840456136</v>
          </cell>
          <cell r="G38">
            <v>173813.86220762847</v>
          </cell>
          <cell r="H38">
            <v>222290.54837733603</v>
          </cell>
          <cell r="I38">
            <v>256967.87392420045</v>
          </cell>
          <cell r="J38">
            <v>281636.7898209237</v>
          </cell>
          <cell r="K38">
            <v>298985.61607389263</v>
          </cell>
          <cell r="L38">
            <v>305264.31401144434</v>
          </cell>
          <cell r="M38">
            <v>311674.86460568465</v>
          </cell>
        </row>
        <row r="39">
          <cell r="B39" t="str">
            <v>Despesas Financeiras</v>
          </cell>
          <cell r="D39">
            <v>21668.51323685862</v>
          </cell>
          <cell r="E39">
            <v>23516.003338518512</v>
          </cell>
          <cell r="F39">
            <v>24900.345688537891</v>
          </cell>
          <cell r="G39">
            <v>25884.749082624992</v>
          </cell>
          <cell r="H39">
            <v>26428.178734539404</v>
          </cell>
          <cell r="I39">
            <v>26740.618322798218</v>
          </cell>
          <cell r="J39">
            <v>26935.888258697079</v>
          </cell>
          <cell r="K39">
            <v>27062.389330370654</v>
          </cell>
          <cell r="L39">
            <v>27105.780347964432</v>
          </cell>
          <cell r="M39">
            <v>27149.262486695156</v>
          </cell>
        </row>
        <row r="42">
          <cell r="B42" t="str">
            <v>Receitas Financeiras</v>
          </cell>
          <cell r="D42">
            <v>0</v>
          </cell>
          <cell r="E42">
            <v>0</v>
          </cell>
          <cell r="F42">
            <v>0</v>
          </cell>
          <cell r="G42">
            <v>0</v>
          </cell>
          <cell r="H42">
            <v>0</v>
          </cell>
          <cell r="I42">
            <v>0</v>
          </cell>
          <cell r="J42">
            <v>0</v>
          </cell>
          <cell r="K42">
            <v>0</v>
          </cell>
          <cell r="L42">
            <v>0</v>
          </cell>
          <cell r="M42">
            <v>0</v>
          </cell>
        </row>
        <row r="44">
          <cell r="B44" t="str">
            <v>Resultado Antes de IR/CS</v>
          </cell>
          <cell r="D44">
            <v>433126.47526533902</v>
          </cell>
          <cell r="E44">
            <v>2628585.8458829969</v>
          </cell>
          <cell r="F44">
            <v>6007948.6181405243</v>
          </cell>
          <cell r="G44">
            <v>10088394.05517114</v>
          </cell>
          <cell r="H44">
            <v>13334650.230390199</v>
          </cell>
          <cell r="I44">
            <v>15546577.447647642</v>
          </cell>
          <cell r="J44">
            <v>17072329.265830673</v>
          </cell>
          <cell r="K44">
            <v>18056023.709992904</v>
          </cell>
          <cell r="L44">
            <v>18230787.283294771</v>
          </cell>
          <cell r="M44">
            <v>18387561.8224966</v>
          </cell>
        </row>
        <row r="46">
          <cell r="B46" t="str">
            <v>Impostos sobre o lucro</v>
          </cell>
          <cell r="D46">
            <v>0</v>
          </cell>
          <cell r="E46">
            <v>0</v>
          </cell>
          <cell r="F46">
            <v>0</v>
          </cell>
          <cell r="G46">
            <v>0</v>
          </cell>
          <cell r="H46">
            <v>0</v>
          </cell>
          <cell r="I46">
            <v>0</v>
          </cell>
          <cell r="J46">
            <v>0</v>
          </cell>
          <cell r="K46">
            <v>0</v>
          </cell>
          <cell r="L46">
            <v>0</v>
          </cell>
          <cell r="M46">
            <v>0</v>
          </cell>
        </row>
        <row r="47">
          <cell r="B47" t="str">
            <v>Provisão Contribuição Social</v>
          </cell>
          <cell r="D47">
            <v>0</v>
          </cell>
          <cell r="E47">
            <v>0</v>
          </cell>
          <cell r="F47">
            <v>0</v>
          </cell>
          <cell r="G47">
            <v>0</v>
          </cell>
          <cell r="H47">
            <v>0</v>
          </cell>
          <cell r="I47">
            <v>0</v>
          </cell>
          <cell r="J47">
            <v>0</v>
          </cell>
          <cell r="K47">
            <v>0</v>
          </cell>
          <cell r="L47">
            <v>0</v>
          </cell>
          <cell r="M47">
            <v>0</v>
          </cell>
        </row>
        <row r="48">
          <cell r="B48" t="str">
            <v xml:space="preserve">Provisão Imposto de Renda </v>
          </cell>
          <cell r="D48">
            <v>0</v>
          </cell>
          <cell r="E48">
            <v>0</v>
          </cell>
          <cell r="F48">
            <v>0</v>
          </cell>
          <cell r="G48">
            <v>0</v>
          </cell>
          <cell r="H48">
            <v>0</v>
          </cell>
          <cell r="I48">
            <v>0</v>
          </cell>
          <cell r="J48">
            <v>0</v>
          </cell>
          <cell r="K48">
            <v>0</v>
          </cell>
          <cell r="L48">
            <v>0</v>
          </cell>
          <cell r="M48">
            <v>0</v>
          </cell>
        </row>
        <row r="50">
          <cell r="B50" t="str">
            <v>Lucro Operacional Após IR</v>
          </cell>
          <cell r="D50">
            <v>433126.47526533902</v>
          </cell>
          <cell r="E50">
            <v>2628585.8458829969</v>
          </cell>
          <cell r="F50">
            <v>6007948.6181405243</v>
          </cell>
          <cell r="G50">
            <v>10088394.05517114</v>
          </cell>
          <cell r="H50">
            <v>13334650.230390199</v>
          </cell>
          <cell r="I50">
            <v>15546577.447647642</v>
          </cell>
          <cell r="J50">
            <v>17072329.265830673</v>
          </cell>
          <cell r="K50">
            <v>18056023.709992904</v>
          </cell>
          <cell r="L50">
            <v>18230787.283294771</v>
          </cell>
          <cell r="M50">
            <v>18387561.8224966</v>
          </cell>
        </row>
      </sheetData>
      <sheetData sheetId="1">
        <row r="6">
          <cell r="C6">
            <v>558429.47</v>
          </cell>
          <cell r="D6">
            <v>1566450.5062969998</v>
          </cell>
          <cell r="E6">
            <v>3461855.6189163695</v>
          </cell>
          <cell r="F6">
            <v>6261804.4434959292</v>
          </cell>
          <cell r="G6">
            <v>9593710.5878801122</v>
          </cell>
          <cell r="H6">
            <v>12269396.470839875</v>
          </cell>
          <cell r="I6">
            <v>14183422.320290895</v>
          </cell>
          <cell r="J6">
            <v>15545030.863038821</v>
          </cell>
          <cell r="K6">
            <v>16502604.764202012</v>
          </cell>
          <cell r="L6">
            <v>16849159.464250255</v>
          </cell>
        </row>
        <row r="7">
          <cell r="C7">
            <v>253853.53</v>
          </cell>
          <cell r="D7">
            <v>712084.53700300003</v>
          </cell>
          <cell r="E7">
            <v>1573706.82677663</v>
          </cell>
          <cell r="F7">
            <v>2846520.9082735684</v>
          </cell>
          <cell r="G7">
            <v>4361154.6835659342</v>
          </cell>
          <cell r="H7">
            <v>5577480.7248124732</v>
          </cell>
          <cell r="I7">
            <v>6447567.717883219</v>
          </cell>
          <cell r="J7">
            <v>7066534.2188000083</v>
          </cell>
          <cell r="K7">
            <v>7501832.7266780892</v>
          </cell>
          <cell r="L7">
            <v>7659371.2139383294</v>
          </cell>
        </row>
        <row r="13">
          <cell r="C13">
            <v>24470.71</v>
          </cell>
          <cell r="D13">
            <v>68642.788620999985</v>
          </cell>
          <cell r="E13">
            <v>151700.56285240996</v>
          </cell>
          <cell r="F13">
            <v>274395.97808743914</v>
          </cell>
          <cell r="G13">
            <v>420402.0780277655</v>
          </cell>
          <cell r="H13">
            <v>537652.21758970933</v>
          </cell>
          <cell r="I13">
            <v>621525.96353370394</v>
          </cell>
          <cell r="J13">
            <v>681192.45603293949</v>
          </cell>
          <cell r="K13">
            <v>723153.91132456856</v>
          </cell>
          <cell r="L13">
            <v>738340.14346238447</v>
          </cell>
        </row>
        <row r="16">
          <cell r="D16">
            <v>-372865.37639456557</v>
          </cell>
          <cell r="E16">
            <v>-2093091.5293246671</v>
          </cell>
          <cell r="F16">
            <v>-3200955.5410687253</v>
          </cell>
          <cell r="G16">
            <v>-3854918.7867250126</v>
          </cell>
          <cell r="H16">
            <v>-3063256.2578519173</v>
          </cell>
          <cell r="I16">
            <v>-2127464.295143323</v>
          </cell>
          <cell r="J16">
            <v>-1438482.5802614596</v>
          </cell>
          <cell r="K16">
            <v>-926362.45080586895</v>
          </cell>
          <cell r="L16">
            <v>-162930.26686705649</v>
          </cell>
          <cell r="M16">
            <v>-144732.88501721993</v>
          </cell>
        </row>
      </sheetData>
      <sheetData sheetId="2">
        <row r="4">
          <cell r="C4" t="str">
            <v>Ano 0</v>
          </cell>
          <cell r="D4" t="str">
            <v>Ano 1</v>
          </cell>
          <cell r="E4" t="str">
            <v>Ano 2</v>
          </cell>
          <cell r="F4" t="str">
            <v>Ano 3</v>
          </cell>
          <cell r="G4" t="str">
            <v>Ano 4</v>
          </cell>
          <cell r="H4" t="str">
            <v>Ano 5</v>
          </cell>
          <cell r="I4" t="str">
            <v>Ano 6</v>
          </cell>
          <cell r="J4" t="str">
            <v>Ano 7</v>
          </cell>
          <cell r="K4" t="str">
            <v>Ano 8</v>
          </cell>
          <cell r="L4" t="str">
            <v>Ano 9</v>
          </cell>
          <cell r="M4" t="str">
            <v>Ano 10</v>
          </cell>
        </row>
        <row r="6">
          <cell r="B6" t="str">
            <v>Imobilizado</v>
          </cell>
          <cell r="C6">
            <v>2338869.5</v>
          </cell>
          <cell r="D6">
            <v>2397341.2374999998</v>
          </cell>
          <cell r="E6">
            <v>2457274.7684374996</v>
          </cell>
          <cell r="F6">
            <v>2518706.6376484367</v>
          </cell>
          <cell r="G6">
            <v>2581674.3035896472</v>
          </cell>
          <cell r="H6">
            <v>2646216.1611793879</v>
          </cell>
          <cell r="I6">
            <v>3033728.0558224972</v>
          </cell>
          <cell r="J6">
            <v>3109571.2572180596</v>
          </cell>
          <cell r="K6">
            <v>3187310.5386485108</v>
          </cell>
          <cell r="L6">
            <v>3266993.3021147233</v>
          </cell>
          <cell r="M6">
            <v>3348668.1346675912</v>
          </cell>
        </row>
        <row r="7">
          <cell r="B7" t="str">
            <v>(-) Depreciação</v>
          </cell>
          <cell r="C7">
            <v>-642716.16000000003</v>
          </cell>
        </row>
        <row r="8">
          <cell r="D8">
            <v>-779364.6105375</v>
          </cell>
          <cell r="E8">
            <v>-919429.2723384375</v>
          </cell>
          <cell r="F8">
            <v>-1062995.5506843985</v>
          </cell>
          <cell r="G8">
            <v>-1210150.9859890083</v>
          </cell>
          <cell r="H8">
            <v>-1360985.3071762335</v>
          </cell>
          <cell r="I8">
            <v>-1533907.8063581157</v>
          </cell>
          <cell r="J8">
            <v>-1711153.3680195452</v>
          </cell>
          <cell r="K8">
            <v>-1892830.0687225102</v>
          </cell>
          <cell r="L8">
            <v>-2079048.6869430495</v>
          </cell>
          <cell r="M8">
            <v>-2269922.7706191023</v>
          </cell>
        </row>
        <row r="9">
          <cell r="B9" t="str">
            <v>Variação do Imobilizado</v>
          </cell>
          <cell r="C9">
            <v>0</v>
          </cell>
          <cell r="D9">
            <v>58471.737499999814</v>
          </cell>
          <cell r="E9">
            <v>59933.530937499832</v>
          </cell>
          <cell r="F9">
            <v>61431.86921093706</v>
          </cell>
          <cell r="G9">
            <v>62967.665941210464</v>
          </cell>
          <cell r="H9">
            <v>64541.857589740772</v>
          </cell>
          <cell r="I9">
            <v>387511.89464310929</v>
          </cell>
          <cell r="J9">
            <v>75843.201395562384</v>
          </cell>
          <cell r="K9">
            <v>77739.281430451199</v>
          </cell>
          <cell r="L9">
            <v>79682.763466212433</v>
          </cell>
          <cell r="M9">
            <v>81674.832552867942</v>
          </cell>
        </row>
        <row r="15">
          <cell r="D15">
            <v>-28053.926895348752</v>
          </cell>
          <cell r="E15">
            <v>-28755.275067732469</v>
          </cell>
          <cell r="F15">
            <v>-29474.156944425773</v>
          </cell>
          <cell r="G15">
            <v>-30211.01086803641</v>
          </cell>
          <cell r="H15">
            <v>-30966.286139737316</v>
          </cell>
          <cell r="I15">
            <v>-35500.989082040447</v>
          </cell>
          <cell r="J15">
            <v>-36388.513809091462</v>
          </cell>
          <cell r="K15">
            <v>-37298.226654318743</v>
          </cell>
          <cell r="L15">
            <v>-38230.682320676708</v>
          </cell>
          <cell r="M15">
            <v>-39186.449378693622</v>
          </cell>
        </row>
        <row r="16">
          <cell r="D16">
            <v>-42074.057920496249</v>
          </cell>
          <cell r="E16">
            <v>-43125.909368508655</v>
          </cell>
          <cell r="F16">
            <v>-44204.057102721359</v>
          </cell>
          <cell r="G16">
            <v>-45309.158530289387</v>
          </cell>
          <cell r="H16">
            <v>-46441.887493546616</v>
          </cell>
          <cell r="I16">
            <v>-53242.83749810158</v>
          </cell>
          <cell r="J16">
            <v>-54573.90843555412</v>
          </cell>
          <cell r="K16">
            <v>-55938.25614644296</v>
          </cell>
          <cell r="L16">
            <v>-57336.712550104035</v>
          </cell>
          <cell r="M16">
            <v>-58770.130363856631</v>
          </cell>
        </row>
        <row r="17">
          <cell r="D17">
            <v>-66520.465721654997</v>
          </cell>
          <cell r="E17">
            <v>-68183.477364696373</v>
          </cell>
          <cell r="F17">
            <v>-69888.06429881377</v>
          </cell>
          <cell r="G17">
            <v>-71635.265906284098</v>
          </cell>
          <cell r="H17">
            <v>-73426.147553941191</v>
          </cell>
          <cell r="I17">
            <v>-84178.672601740342</v>
          </cell>
          <cell r="J17">
            <v>-86283.139416783844</v>
          </cell>
          <cell r="K17">
            <v>-88440.217902203425</v>
          </cell>
          <cell r="L17">
            <v>-90651.223349758497</v>
          </cell>
          <cell r="M17">
            <v>-92917.503933502463</v>
          </cell>
        </row>
      </sheetData>
      <sheetData sheetId="3"/>
      <sheetData sheetId="4">
        <row r="15">
          <cell r="D15">
            <v>1.090255</v>
          </cell>
          <cell r="E15">
            <v>1.0605</v>
          </cell>
          <cell r="F15">
            <v>1.04044</v>
          </cell>
          <cell r="G15">
            <v>1.026605</v>
          </cell>
          <cell r="H15">
            <v>1.0139450000000001</v>
          </cell>
          <cell r="I15">
            <v>1.0078</v>
          </cell>
          <cell r="J15">
            <v>1.0047999999999999</v>
          </cell>
          <cell r="K15">
            <v>1.00308</v>
          </cell>
          <cell r="L15">
            <v>1.00105</v>
          </cell>
          <cell r="M15">
            <v>1.00105</v>
          </cell>
        </row>
        <row r="17">
          <cell r="D17">
            <v>1.3610199999999999</v>
          </cell>
          <cell r="E17">
            <v>1.242</v>
          </cell>
          <cell r="F17">
            <v>1.1617600000000001</v>
          </cell>
          <cell r="G17">
            <v>1.10642</v>
          </cell>
          <cell r="H17">
            <v>1.0557799999999999</v>
          </cell>
          <cell r="I17">
            <v>1.0311999999999999</v>
          </cell>
          <cell r="J17">
            <v>1.0192000000000001</v>
          </cell>
          <cell r="K17">
            <v>1.0123200000000001</v>
          </cell>
          <cell r="L17">
            <v>1.0042</v>
          </cell>
          <cell r="M17">
            <v>1.0042</v>
          </cell>
        </row>
        <row r="19">
          <cell r="D19">
            <v>1.1805099999999999</v>
          </cell>
          <cell r="E19">
            <v>1.121</v>
          </cell>
          <cell r="F19">
            <v>1.0808800000000001</v>
          </cell>
          <cell r="G19">
            <v>1.05321</v>
          </cell>
          <cell r="H19">
            <v>1.02789</v>
          </cell>
          <cell r="I19">
            <v>1.0156000000000001</v>
          </cell>
          <cell r="J19">
            <v>1.0096000000000001</v>
          </cell>
          <cell r="K19">
            <v>1.0061599999999999</v>
          </cell>
          <cell r="L19">
            <v>1.0021</v>
          </cell>
          <cell r="M19">
            <v>1.0021</v>
          </cell>
        </row>
      </sheetData>
      <sheetData sheetId="5"/>
      <sheetData sheetId="6">
        <row r="4">
          <cell r="B4" t="str">
            <v>Conta</v>
          </cell>
          <cell r="C4" t="str">
            <v>Ano 1</v>
          </cell>
          <cell r="D4" t="str">
            <v>Ano 2</v>
          </cell>
          <cell r="E4" t="str">
            <v>Ano 3</v>
          </cell>
          <cell r="F4" t="str">
            <v>Ano 4</v>
          </cell>
          <cell r="G4" t="str">
            <v>Ano 5</v>
          </cell>
          <cell r="H4" t="str">
            <v>Ano 6</v>
          </cell>
          <cell r="I4" t="str">
            <v>Ano 7</v>
          </cell>
          <cell r="J4" t="str">
            <v>Ano 8</v>
          </cell>
          <cell r="K4" t="str">
            <v>Ano 9</v>
          </cell>
          <cell r="L4" t="str">
            <v>Ano 10</v>
          </cell>
        </row>
        <row r="10">
          <cell r="C10">
            <v>433126.47526533948</v>
          </cell>
          <cell r="D10">
            <v>2628585.845882996</v>
          </cell>
          <cell r="E10">
            <v>6007948.6181405243</v>
          </cell>
          <cell r="F10">
            <v>10088394.05517114</v>
          </cell>
          <cell r="G10">
            <v>13334650.230390199</v>
          </cell>
          <cell r="H10">
            <v>15546577.447647642</v>
          </cell>
          <cell r="I10">
            <v>17072329.265830673</v>
          </cell>
          <cell r="J10">
            <v>18056023.709992897</v>
          </cell>
          <cell r="K10">
            <v>18230787.283294771</v>
          </cell>
          <cell r="L10">
            <v>18387561.8224966</v>
          </cell>
        </row>
        <row r="11">
          <cell r="B11" t="str">
            <v>(+) Depreciação</v>
          </cell>
          <cell r="C11">
            <v>136648.4505375</v>
          </cell>
          <cell r="D11">
            <v>140064.66180093749</v>
          </cell>
          <cell r="E11">
            <v>143566.27834596089</v>
          </cell>
          <cell r="F11">
            <v>147155.43530460988</v>
          </cell>
          <cell r="G11">
            <v>150834.32118722511</v>
          </cell>
          <cell r="H11">
            <v>172922.49918188236</v>
          </cell>
          <cell r="I11">
            <v>177245.56166142944</v>
          </cell>
          <cell r="J11">
            <v>181676.70070296514</v>
          </cell>
          <cell r="K11">
            <v>186218.61822053924</v>
          </cell>
          <cell r="L11">
            <v>190874.08367605269</v>
          </cell>
        </row>
        <row r="12">
          <cell r="B12" t="str">
            <v>(-) Imobilizações</v>
          </cell>
          <cell r="C12">
            <v>58471.737499999814</v>
          </cell>
          <cell r="D12">
            <v>59933.530937499832</v>
          </cell>
          <cell r="E12">
            <v>61431.86921093706</v>
          </cell>
          <cell r="F12">
            <v>62967.665941210464</v>
          </cell>
          <cell r="G12">
            <v>64541.857589740772</v>
          </cell>
          <cell r="H12">
            <v>387511.89464310929</v>
          </cell>
          <cell r="I12">
            <v>75843.201395562384</v>
          </cell>
          <cell r="J12">
            <v>77739.281430451199</v>
          </cell>
          <cell r="K12">
            <v>79682.763466212433</v>
          </cell>
          <cell r="L12">
            <v>81674.832552867942</v>
          </cell>
        </row>
        <row r="13">
          <cell r="C13">
            <v>-372865.37639456557</v>
          </cell>
          <cell r="D13">
            <v>-2093091.5293246671</v>
          </cell>
          <cell r="E13">
            <v>-3200955.5410687253</v>
          </cell>
          <cell r="F13">
            <v>-3854918.7867250126</v>
          </cell>
          <cell r="G13">
            <v>-3063256.2578519173</v>
          </cell>
          <cell r="H13">
            <v>-2127464.295143323</v>
          </cell>
          <cell r="I13">
            <v>-1438482.5802614596</v>
          </cell>
          <cell r="J13">
            <v>-926362.45080586895</v>
          </cell>
          <cell r="K13">
            <v>-162930.26686705649</v>
          </cell>
          <cell r="L13">
            <v>-144732.88501721993</v>
          </cell>
        </row>
        <row r="14">
          <cell r="C14">
            <v>138437.81190827407</v>
          </cell>
          <cell r="D14">
            <v>615625.44742176682</v>
          </cell>
          <cell r="E14">
            <v>2889127.486206823</v>
          </cell>
          <cell r="F14">
            <v>6317663.0378095265</v>
          </cell>
          <cell r="G14">
            <v>10357686.436135765</v>
          </cell>
          <cell r="H14">
            <v>13204523.757043092</v>
          </cell>
          <cell r="I14">
            <v>15735249.04583508</v>
          </cell>
          <cell r="J14">
            <v>17233598.678459544</v>
          </cell>
          <cell r="K14">
            <v>18174392.871182039</v>
          </cell>
          <cell r="L14">
            <v>18352028.188602563</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ceiros"/>
      <sheetName val="Próprios"/>
      <sheetName val="WACC"/>
      <sheetName val="Recursos de Terceiros"/>
      <sheetName val="WACC-art"/>
      <sheetName val="CMPC"/>
    </sheetNames>
    <sheetDataSet>
      <sheetData sheetId="0">
        <row r="2">
          <cell r="B2" t="str">
            <v>Modalidade</v>
          </cell>
          <cell r="D2" t="str">
            <v>Proporção (%)</v>
          </cell>
          <cell r="E2" t="str">
            <v>Taxas (%)</v>
          </cell>
          <cell r="F2" t="str">
            <v>P x T (%)</v>
          </cell>
        </row>
        <row r="3">
          <cell r="C3">
            <v>108864.93</v>
          </cell>
          <cell r="D3">
            <v>95.815197172250706</v>
          </cell>
          <cell r="E3">
            <v>9.99</v>
          </cell>
          <cell r="F3">
            <v>9.5719381975078459</v>
          </cell>
        </row>
        <row r="4">
          <cell r="C4">
            <v>4754.76</v>
          </cell>
          <cell r="D4">
            <v>4.1848028277493103</v>
          </cell>
          <cell r="E4">
            <v>16.033869371614699</v>
          </cell>
          <cell r="F4">
            <v>0.67098581886096242</v>
          </cell>
        </row>
        <row r="5">
          <cell r="F5">
            <v>10.242924016368809</v>
          </cell>
        </row>
        <row r="9">
          <cell r="B9" t="str">
            <v>Custo do CT após IR e CS</v>
          </cell>
          <cell r="F9">
            <v>10.242924016368809</v>
          </cell>
        </row>
      </sheetData>
      <sheetData sheetId="1">
        <row r="5">
          <cell r="C5">
            <v>3.86</v>
          </cell>
        </row>
        <row r="6">
          <cell r="C6">
            <v>18.600000000000001</v>
          </cell>
        </row>
        <row r="8">
          <cell r="C8">
            <v>1.89</v>
          </cell>
        </row>
      </sheetData>
      <sheetData sheetId="2">
        <row r="3">
          <cell r="C3">
            <v>113619.68999999999</v>
          </cell>
          <cell r="D3">
            <v>3.1258174016237144</v>
          </cell>
          <cell r="E3">
            <v>10.242924016368809</v>
          </cell>
          <cell r="F3">
            <v>0.32017510133875093</v>
          </cell>
        </row>
        <row r="4">
          <cell r="C4">
            <v>3521259.62</v>
          </cell>
          <cell r="D4">
            <v>96.874182598376294</v>
          </cell>
          <cell r="F4">
            <v>15.899304720397136</v>
          </cell>
        </row>
        <row r="5">
          <cell r="C5">
            <v>3634879.31</v>
          </cell>
          <cell r="D5">
            <v>100</v>
          </cell>
          <cell r="E5">
            <v>0</v>
          </cell>
          <cell r="F5">
            <v>16.219479821735888</v>
          </cell>
        </row>
      </sheetData>
      <sheetData sheetId="3"/>
      <sheetData sheetId="4"/>
      <sheetData sheetId="5">
        <row r="15">
          <cell r="C15">
            <v>16.495474000000002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
      <sheetName val="Cenários"/>
      <sheetName val="Valor (P)"/>
      <sheetName val="Valor (O)"/>
      <sheetName val="Quadro FCL"/>
      <sheetName val="Quadro VR"/>
      <sheetName val="Quadro Cenários"/>
      <sheetName val="Fórmulas"/>
      <sheetName val="Quadros Valores"/>
      <sheetName val="Valores Juntos"/>
    </sheetNames>
    <sheetDataSet>
      <sheetData sheetId="0">
        <row r="13">
          <cell r="B13" t="str">
            <v>Item</v>
          </cell>
          <cell r="C13" t="str">
            <v>Ano 1</v>
          </cell>
          <cell r="D13" t="str">
            <v>Ano 2</v>
          </cell>
          <cell r="E13" t="str">
            <v>Ano 3</v>
          </cell>
          <cell r="F13" t="str">
            <v>Ano 4</v>
          </cell>
          <cell r="G13" t="str">
            <v>Ano 5</v>
          </cell>
          <cell r="H13" t="str">
            <v>Ano 6</v>
          </cell>
          <cell r="I13" t="str">
            <v>Ano 7</v>
          </cell>
          <cell r="J13" t="str">
            <v>Ano 8</v>
          </cell>
          <cell r="K13" t="str">
            <v>Ano 9</v>
          </cell>
          <cell r="L13" t="str">
            <v>Ano 10</v>
          </cell>
        </row>
        <row r="15">
          <cell r="B15" t="str">
            <v>(=) Fluxo de caixa livre</v>
          </cell>
          <cell r="C15">
            <v>138.43781190827409</v>
          </cell>
          <cell r="D15">
            <v>615.62544742176681</v>
          </cell>
          <cell r="E15">
            <v>2889.1274862068231</v>
          </cell>
          <cell r="F15">
            <v>6317.6630378095269</v>
          </cell>
          <cell r="G15">
            <v>10357.686436135766</v>
          </cell>
          <cell r="H15">
            <v>13204.523757043091</v>
          </cell>
          <cell r="I15">
            <v>15735.24904583508</v>
          </cell>
          <cell r="J15">
            <v>17233.598678459544</v>
          </cell>
          <cell r="K15">
            <v>18174.392871182041</v>
          </cell>
          <cell r="L15">
            <v>18352.028188602562</v>
          </cell>
        </row>
        <row r="16">
          <cell r="B16" t="str">
            <v>Fator de Atualização</v>
          </cell>
          <cell r="C16">
            <v>1.1621947982173588</v>
          </cell>
          <cell r="D16">
            <v>1.3506967490034874</v>
          </cell>
          <cell r="E16">
            <v>1.5697727356609505</v>
          </cell>
          <cell r="F16">
            <v>1.8243817077685898</v>
          </cell>
          <cell r="G16">
            <v>2.1202869307315568</v>
          </cell>
          <cell r="H16">
            <v>2.4641864416244643</v>
          </cell>
          <cell r="I16">
            <v>2.863864664293696</v>
          </cell>
          <cell r="J16">
            <v>3.328368615640636</v>
          </cell>
          <cell r="K16">
            <v>3.8682126916474591</v>
          </cell>
          <cell r="L16">
            <v>4.4956166686310448</v>
          </cell>
        </row>
        <row r="17">
          <cell r="B17" t="str">
            <v>(=) Valor presente do fluxo de caixa livre</v>
          </cell>
          <cell r="C17">
            <v>119.11756283939488</v>
          </cell>
          <cell r="D17">
            <v>455.78361529037585</v>
          </cell>
          <cell r="E17">
            <v>1840.4750067151344</v>
          </cell>
          <cell r="F17">
            <v>3462.9063703651641</v>
          </cell>
          <cell r="G17">
            <v>4885.0399849241539</v>
          </cell>
          <cell r="H17">
            <v>5358.5733343854772</v>
          </cell>
          <cell r="I17">
            <v>5494.4108365245693</v>
          </cell>
          <cell r="J17">
            <v>5177.7914854369174</v>
          </cell>
          <cell r="K17">
            <v>4698.3954399471313</v>
          </cell>
          <cell r="L17">
            <v>4082.2048544879422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4"/>
  <sheetViews>
    <sheetView workbookViewId="0"/>
  </sheetViews>
  <sheetFormatPr defaultRowHeight="14.25" x14ac:dyDescent="0.2"/>
  <cols>
    <col min="1" max="1" width="9.140625" style="2"/>
    <col min="2" max="2" width="43" style="2" bestFit="1" customWidth="1"/>
    <col min="3" max="9" width="16.140625" style="2" bestFit="1" customWidth="1"/>
    <col min="10" max="16384" width="9.140625" style="2"/>
  </cols>
  <sheetData>
    <row r="2" spans="2:9" ht="15.75" x14ac:dyDescent="0.25">
      <c r="B2" s="168" t="s">
        <v>0</v>
      </c>
      <c r="C2" s="169"/>
      <c r="D2" s="169"/>
      <c r="E2" s="169"/>
      <c r="F2" s="169"/>
      <c r="G2" s="169"/>
      <c r="H2" s="169"/>
      <c r="I2" s="170"/>
    </row>
    <row r="3" spans="2:9" ht="15.75" x14ac:dyDescent="0.25">
      <c r="B3" s="15" t="s">
        <v>1</v>
      </c>
      <c r="C3" s="16">
        <f>[1]Ativo!C2</f>
        <v>2005</v>
      </c>
      <c r="D3" s="16">
        <f>[1]Ativo!D2</f>
        <v>2006</v>
      </c>
      <c r="E3" s="16">
        <f>[1]Ativo!E2</f>
        <v>2007</v>
      </c>
      <c r="F3" s="16">
        <f>[1]Ativo!F2</f>
        <v>2008</v>
      </c>
      <c r="G3" s="16">
        <f>[1]Ativo!G2</f>
        <v>2009</v>
      </c>
      <c r="H3" s="16">
        <f>[1]Ativo!H2</f>
        <v>2010</v>
      </c>
      <c r="I3" s="17">
        <f>[1]Ativo!I2</f>
        <v>2011</v>
      </c>
    </row>
    <row r="4" spans="2:9" ht="15.75" x14ac:dyDescent="0.25">
      <c r="B4" s="3"/>
      <c r="C4" s="4"/>
      <c r="D4" s="4"/>
      <c r="E4" s="4"/>
      <c r="F4" s="4"/>
      <c r="G4" s="4"/>
      <c r="H4" s="4"/>
      <c r="I4" s="5"/>
    </row>
    <row r="5" spans="2:9" ht="15.75" x14ac:dyDescent="0.25">
      <c r="B5" s="6" t="str">
        <f>[1]Ativo!B3</f>
        <v>Ativo</v>
      </c>
      <c r="C5" s="7">
        <f>[1]Ativo!C3</f>
        <v>2243009.6800000002</v>
      </c>
      <c r="D5" s="7">
        <f>[1]Ativo!D3</f>
        <v>2169927.92</v>
      </c>
      <c r="E5" s="7">
        <f>[1]Ativo!E3</f>
        <v>2240629.15</v>
      </c>
      <c r="F5" s="7">
        <f>[1]Ativo!F3</f>
        <v>2837378.58</v>
      </c>
      <c r="G5" s="7">
        <f>[1]Ativo!G3</f>
        <v>2951864.01</v>
      </c>
      <c r="H5" s="7">
        <f>[1]Ativo!H3</f>
        <v>3297117.2800000003</v>
      </c>
      <c r="I5" s="8">
        <f>[1]Ativo!I3</f>
        <v>3748492.2</v>
      </c>
    </row>
    <row r="6" spans="2:9" ht="15.75" x14ac:dyDescent="0.25">
      <c r="B6" s="6"/>
      <c r="C6" s="7"/>
      <c r="D6" s="7"/>
      <c r="E6" s="7"/>
      <c r="F6" s="7"/>
      <c r="G6" s="7"/>
      <c r="H6" s="7"/>
      <c r="I6" s="8"/>
    </row>
    <row r="7" spans="2:9" ht="15.75" x14ac:dyDescent="0.25">
      <c r="B7" s="6" t="str">
        <f>[1]Ativo!B4</f>
        <v>Ativo Circulante</v>
      </c>
      <c r="C7" s="7">
        <f>[1]Ativo!C4</f>
        <v>461444.46</v>
      </c>
      <c r="D7" s="7">
        <f>[1]Ativo!D4</f>
        <v>457410.04999999993</v>
      </c>
      <c r="E7" s="7">
        <f>[1]Ativo!E4</f>
        <v>582514.05000000005</v>
      </c>
      <c r="F7" s="7">
        <f>[1]Ativo!F4</f>
        <v>1152631.92</v>
      </c>
      <c r="G7" s="7">
        <f>[1]Ativo!G4</f>
        <v>1327327.48</v>
      </c>
      <c r="H7" s="7">
        <f>[1]Ativo!H4</f>
        <v>1686388.01</v>
      </c>
      <c r="I7" s="8">
        <f>[1]Ativo!I4</f>
        <v>2052338.86</v>
      </c>
    </row>
    <row r="8" spans="2:9" ht="15.75" x14ac:dyDescent="0.25">
      <c r="B8" s="6" t="str">
        <f>[1]Ativo!B5</f>
        <v>Disponibilidades</v>
      </c>
      <c r="C8" s="7">
        <f>[1]Ativo!C5</f>
        <v>203942.16999999998</v>
      </c>
      <c r="D8" s="7">
        <f>[1]Ativo!D5</f>
        <v>131020.95999999999</v>
      </c>
      <c r="E8" s="7">
        <f>[1]Ativo!E5</f>
        <v>249680.25</v>
      </c>
      <c r="F8" s="7">
        <f>[1]Ativo!F5</f>
        <v>568439.74</v>
      </c>
      <c r="G8" s="7">
        <f>[1]Ativo!G5</f>
        <v>822884.47</v>
      </c>
      <c r="H8" s="7">
        <f>[1]Ativo!H5</f>
        <v>1131293.3899999999</v>
      </c>
      <c r="I8" s="8">
        <f>[1]Ativo!I5</f>
        <v>1239766.71</v>
      </c>
    </row>
    <row r="9" spans="2:9" ht="15" x14ac:dyDescent="0.2">
      <c r="B9" s="9" t="str">
        <f>[1]Ativo!B6</f>
        <v>Caixa</v>
      </c>
      <c r="C9" s="10">
        <f>[1]Ativo!C6</f>
        <v>54426.41</v>
      </c>
      <c r="D9" s="10">
        <f>[1]Ativo!D6</f>
        <v>14099.75</v>
      </c>
      <c r="E9" s="10">
        <f>[1]Ativo!E6</f>
        <v>3306.79</v>
      </c>
      <c r="F9" s="10">
        <f>[1]Ativo!F6</f>
        <v>1962.77</v>
      </c>
      <c r="G9" s="10">
        <f>[1]Ativo!G6</f>
        <v>27051.67</v>
      </c>
      <c r="H9" s="10">
        <f>[1]Ativo!H6</f>
        <v>15767.68</v>
      </c>
      <c r="I9" s="11">
        <f>[1]Ativo!I6</f>
        <v>19174.09</v>
      </c>
    </row>
    <row r="10" spans="2:9" ht="15" x14ac:dyDescent="0.2">
      <c r="B10" s="9" t="str">
        <f>[1]Ativo!B7</f>
        <v>Banco c/ Movimento</v>
      </c>
      <c r="C10" s="10">
        <f>[1]Ativo!C7</f>
        <v>19564.46</v>
      </c>
      <c r="D10" s="10">
        <f>[1]Ativo!D7</f>
        <v>26278.93</v>
      </c>
      <c r="E10" s="10">
        <f>[1]Ativo!E7</f>
        <v>26286.82</v>
      </c>
      <c r="F10" s="10">
        <f>[1]Ativo!F7</f>
        <v>28212.33</v>
      </c>
      <c r="G10" s="10">
        <f>[1]Ativo!G7</f>
        <v>52010.6</v>
      </c>
      <c r="H10" s="10">
        <f>[1]Ativo!H7</f>
        <v>119467.5</v>
      </c>
      <c r="I10" s="11">
        <f>[1]Ativo!I7</f>
        <v>41632.61</v>
      </c>
    </row>
    <row r="11" spans="2:9" ht="15" x14ac:dyDescent="0.2">
      <c r="B11" s="9" t="str">
        <f>[1]Ativo!B8</f>
        <v>Aplicações Finaceiras</v>
      </c>
      <c r="C11" s="10">
        <f>[1]Ativo!C8</f>
        <v>129951.3</v>
      </c>
      <c r="D11" s="10">
        <f>[1]Ativo!D8</f>
        <v>90642.28</v>
      </c>
      <c r="E11" s="10">
        <f>[1]Ativo!E8</f>
        <v>220086.64</v>
      </c>
      <c r="F11" s="10">
        <f>[1]Ativo!F8</f>
        <v>538264.64</v>
      </c>
      <c r="G11" s="10">
        <f>[1]Ativo!G8</f>
        <v>743822.2</v>
      </c>
      <c r="H11" s="10">
        <f>[1]Ativo!H8</f>
        <v>996058.21</v>
      </c>
      <c r="I11" s="11">
        <f>[1]Ativo!I8</f>
        <v>1178960.01</v>
      </c>
    </row>
    <row r="12" spans="2:9" ht="15.75" x14ac:dyDescent="0.25">
      <c r="B12" s="6" t="str">
        <f>[1]Ativo!B9</f>
        <v>Créditos</v>
      </c>
      <c r="C12" s="7">
        <f>[1]Ativo!C9</f>
        <v>153646.09</v>
      </c>
      <c r="D12" s="7">
        <f>[1]Ativo!D9</f>
        <v>186960.95999999996</v>
      </c>
      <c r="E12" s="7">
        <f>[1]Ativo!E9</f>
        <v>136014.88999999998</v>
      </c>
      <c r="F12" s="7">
        <f>[1]Ativo!F9</f>
        <v>263163.09000000003</v>
      </c>
      <c r="G12" s="7">
        <f>[1]Ativo!G9</f>
        <v>309364.99</v>
      </c>
      <c r="H12" s="7">
        <f>[1]Ativo!H9</f>
        <v>388523.31</v>
      </c>
      <c r="I12" s="8">
        <f>[1]Ativo!I9</f>
        <v>558718.62</v>
      </c>
    </row>
    <row r="13" spans="2:9" ht="15" x14ac:dyDescent="0.2">
      <c r="B13" s="9" t="str">
        <f>[1]Ativo!B10</f>
        <v>Duplicatas a Receber</v>
      </c>
      <c r="C13" s="10">
        <f>[1]Ativo!C10</f>
        <v>117297.11</v>
      </c>
      <c r="D13" s="10">
        <f>[1]Ativo!D10</f>
        <v>130176.92</v>
      </c>
      <c r="E13" s="10">
        <f>[1]Ativo!E10</f>
        <v>135429.84</v>
      </c>
      <c r="F13" s="10">
        <f>[1]Ativo!F10</f>
        <v>263163.09000000003</v>
      </c>
      <c r="G13" s="10">
        <f>[1]Ativo!G10</f>
        <v>309364.99</v>
      </c>
      <c r="H13" s="10">
        <f>[1]Ativo!H10</f>
        <v>387742.79</v>
      </c>
      <c r="I13" s="11">
        <f>[1]Ativo!I10</f>
        <v>558429.47</v>
      </c>
    </row>
    <row r="14" spans="2:9" ht="15" x14ac:dyDescent="0.2">
      <c r="B14" s="9" t="str">
        <f>[1]Ativo!B11</f>
        <v>Adiantamento a Fornecedores</v>
      </c>
      <c r="C14" s="10">
        <f>[1]Ativo!C11</f>
        <v>15144.25</v>
      </c>
      <c r="D14" s="10">
        <f>[1]Ativo!D11</f>
        <v>41619.25</v>
      </c>
      <c r="E14" s="10">
        <f>[1]Ativo!E11</f>
        <v>0</v>
      </c>
      <c r="F14" s="10">
        <f>[1]Ativo!F11</f>
        <v>0</v>
      </c>
      <c r="G14" s="10">
        <f>[1]Ativo!G11</f>
        <v>0</v>
      </c>
      <c r="H14" s="10">
        <f>[1]Ativo!H11</f>
        <v>491.37</v>
      </c>
      <c r="I14" s="11">
        <f>[1]Ativo!I11</f>
        <v>0</v>
      </c>
    </row>
    <row r="15" spans="2:9" ht="15" x14ac:dyDescent="0.2">
      <c r="B15" s="9" t="str">
        <f>[1]Ativo!B12</f>
        <v>Mercadorias em Transito</v>
      </c>
      <c r="C15" s="10">
        <f>[1]Ativo!C12</f>
        <v>8504.5499999999993</v>
      </c>
      <c r="D15" s="10">
        <f>[1]Ativo!D12</f>
        <v>7223.05</v>
      </c>
      <c r="E15" s="10">
        <f>[1]Ativo!E12</f>
        <v>0</v>
      </c>
      <c r="F15" s="10">
        <f>[1]Ativo!F12</f>
        <v>0</v>
      </c>
      <c r="G15" s="10">
        <f>[1]Ativo!G12</f>
        <v>0</v>
      </c>
      <c r="H15" s="10">
        <f>[1]Ativo!H12</f>
        <v>0</v>
      </c>
      <c r="I15" s="11">
        <f>[1]Ativo!I12</f>
        <v>0</v>
      </c>
    </row>
    <row r="16" spans="2:9" ht="15" x14ac:dyDescent="0.2">
      <c r="B16" s="9" t="str">
        <f>[1]Ativo!B13</f>
        <v>Créditos Diversos a Compensar</v>
      </c>
      <c r="C16" s="10">
        <f>[1]Ativo!C13</f>
        <v>8694.0400000000009</v>
      </c>
      <c r="D16" s="10">
        <f>[1]Ativo!D13</f>
        <v>7941.74</v>
      </c>
      <c r="E16" s="10">
        <f>[1]Ativo!E13</f>
        <v>585.04999999999995</v>
      </c>
      <c r="F16" s="10">
        <f>[1]Ativo!F13</f>
        <v>0</v>
      </c>
      <c r="G16" s="10">
        <f>[1]Ativo!G13</f>
        <v>0</v>
      </c>
      <c r="H16" s="10">
        <f>[1]Ativo!H13</f>
        <v>289.14999999999998</v>
      </c>
      <c r="I16" s="11">
        <f>[1]Ativo!I13</f>
        <v>289.14999999999998</v>
      </c>
    </row>
    <row r="17" spans="2:9" ht="15" x14ac:dyDescent="0.2">
      <c r="B17" s="9" t="str">
        <f>[1]Ativo!B14</f>
        <v>Outros Valores e Bens</v>
      </c>
      <c r="C17" s="10">
        <f>[1]Ativo!C14</f>
        <v>4006.14</v>
      </c>
      <c r="D17" s="10">
        <f>[1]Ativo!D14</f>
        <v>0</v>
      </c>
      <c r="E17" s="10">
        <f>[1]Ativo!E14</f>
        <v>0</v>
      </c>
      <c r="F17" s="10">
        <f>[1]Ativo!F14</f>
        <v>0</v>
      </c>
      <c r="G17" s="10">
        <f>[1]Ativo!G14</f>
        <v>0</v>
      </c>
      <c r="H17" s="10">
        <f>[1]Ativo!H14</f>
        <v>0</v>
      </c>
      <c r="I17" s="11">
        <f>[1]Ativo!I14</f>
        <v>0</v>
      </c>
    </row>
    <row r="18" spans="2:9" ht="15.75" x14ac:dyDescent="0.25">
      <c r="B18" s="6" t="str">
        <f>[1]Ativo!B15</f>
        <v>Estoques</v>
      </c>
      <c r="C18" s="7">
        <f>[1]Ativo!C15</f>
        <v>103856.2</v>
      </c>
      <c r="D18" s="7">
        <f>[1]Ativo!D15</f>
        <v>139428.13</v>
      </c>
      <c r="E18" s="7">
        <f>[1]Ativo!E15</f>
        <v>196818.90999999997</v>
      </c>
      <c r="F18" s="7">
        <f>[1]Ativo!F15</f>
        <v>318444.88</v>
      </c>
      <c r="G18" s="7">
        <f>[1]Ativo!G15</f>
        <v>195078.02000000002</v>
      </c>
      <c r="H18" s="7">
        <f>[1]Ativo!H15</f>
        <v>166571.31</v>
      </c>
      <c r="I18" s="8">
        <f>[1]Ativo!I15</f>
        <v>253853.52999999997</v>
      </c>
    </row>
    <row r="19" spans="2:9" ht="15" x14ac:dyDescent="0.2">
      <c r="B19" s="9" t="str">
        <f>[1]Ativo!B16</f>
        <v>Estoques de Produtos</v>
      </c>
      <c r="C19" s="10">
        <f>[1]Ativo!C16</f>
        <v>103856.2</v>
      </c>
      <c r="D19" s="10">
        <f>[1]Ativo!D16</f>
        <v>139428.13</v>
      </c>
      <c r="E19" s="10">
        <f>[1]Ativo!E16</f>
        <v>196818.90999999997</v>
      </c>
      <c r="F19" s="10">
        <f>[1]Ativo!F16</f>
        <v>318444.88</v>
      </c>
      <c r="G19" s="10">
        <f>[1]Ativo!G16</f>
        <v>195078.02000000002</v>
      </c>
      <c r="H19" s="10">
        <f>[1]Ativo!H16</f>
        <v>166571.31</v>
      </c>
      <c r="I19" s="11">
        <f>[1]Ativo!I16</f>
        <v>0</v>
      </c>
    </row>
    <row r="20" spans="2:9" ht="15" x14ac:dyDescent="0.2">
      <c r="B20" s="9" t="str">
        <f>[1]Ativo!B17</f>
        <v>Estoque de Matéria-Prima</v>
      </c>
      <c r="C20" s="10">
        <f>[1]Ativo!C17</f>
        <v>95547.7</v>
      </c>
      <c r="D20" s="10">
        <f>[1]Ativo!D17</f>
        <v>109186.09</v>
      </c>
      <c r="E20" s="10">
        <f>[1]Ativo!E17</f>
        <v>130061.73</v>
      </c>
      <c r="F20" s="10">
        <f>[1]Ativo!F17</f>
        <v>256142.27</v>
      </c>
      <c r="G20" s="10">
        <f>[1]Ativo!G17</f>
        <v>85055.16</v>
      </c>
      <c r="H20" s="10">
        <f>[1]Ativo!H17</f>
        <v>116916.94</v>
      </c>
      <c r="I20" s="11">
        <f>[1]Ativo!I17</f>
        <v>89895.67</v>
      </c>
    </row>
    <row r="21" spans="2:9" ht="15" x14ac:dyDescent="0.2">
      <c r="B21" s="9" t="str">
        <f>[1]Ativo!B18</f>
        <v>Estoque de Produtos Acabados</v>
      </c>
      <c r="C21" s="10">
        <f>[1]Ativo!C18</f>
        <v>8308.5</v>
      </c>
      <c r="D21" s="10">
        <f>[1]Ativo!D18</f>
        <v>30242.04</v>
      </c>
      <c r="E21" s="10">
        <f>[1]Ativo!E18</f>
        <v>66757.179999999993</v>
      </c>
      <c r="F21" s="10">
        <f>[1]Ativo!F18</f>
        <v>62302.61</v>
      </c>
      <c r="G21" s="10">
        <f>[1]Ativo!G18</f>
        <v>110022.86</v>
      </c>
      <c r="H21" s="10">
        <f>[1]Ativo!H18</f>
        <v>49654.37</v>
      </c>
      <c r="I21" s="11">
        <f>[1]Ativo!I18</f>
        <v>163957.85999999999</v>
      </c>
    </row>
    <row r="22" spans="2:9" ht="15.75" x14ac:dyDescent="0.25">
      <c r="B22" s="6" t="str">
        <f>[1]Ativo!B19</f>
        <v>Despesas Antecipadas</v>
      </c>
      <c r="C22" s="7">
        <f>[1]Ativo!C19</f>
        <v>0</v>
      </c>
      <c r="D22" s="7">
        <f>[1]Ativo!D19</f>
        <v>0</v>
      </c>
      <c r="E22" s="7">
        <f>[1]Ativo!E19</f>
        <v>0</v>
      </c>
      <c r="F22" s="7">
        <f>[1]Ativo!F19</f>
        <v>2584.21</v>
      </c>
      <c r="G22" s="7">
        <f>[1]Ativo!G19</f>
        <v>0</v>
      </c>
      <c r="H22" s="7">
        <f>[1]Ativo!H19</f>
        <v>0</v>
      </c>
      <c r="I22" s="8">
        <f>[1]Ativo!I19</f>
        <v>0</v>
      </c>
    </row>
    <row r="23" spans="2:9" ht="15" x14ac:dyDescent="0.2">
      <c r="B23" s="9"/>
      <c r="C23" s="10">
        <f>[1]Ativo!C20</f>
        <v>0</v>
      </c>
      <c r="D23" s="10">
        <f>[1]Ativo!D20</f>
        <v>0</v>
      </c>
      <c r="E23" s="10">
        <f>[1]Ativo!E20</f>
        <v>0</v>
      </c>
      <c r="F23" s="10">
        <f>[1]Ativo!F20</f>
        <v>0</v>
      </c>
      <c r="G23" s="10">
        <f>[1]Ativo!G20</f>
        <v>0</v>
      </c>
      <c r="H23" s="10">
        <f>[1]Ativo!H20</f>
        <v>0</v>
      </c>
      <c r="I23" s="11">
        <f>[1]Ativo!I20</f>
        <v>0</v>
      </c>
    </row>
    <row r="24" spans="2:9" ht="15.75" x14ac:dyDescent="0.25">
      <c r="B24" s="6" t="str">
        <f>[1]Ativo!B21</f>
        <v>Ativo Não Circulante</v>
      </c>
      <c r="C24" s="7">
        <f>[1]Ativo!C21</f>
        <v>1781565.2200000002</v>
      </c>
      <c r="D24" s="7">
        <f>[1]Ativo!D21</f>
        <v>1712517.87</v>
      </c>
      <c r="E24" s="7">
        <f>[1]Ativo!E21</f>
        <v>1658115.0999999999</v>
      </c>
      <c r="F24" s="7">
        <f>[1]Ativo!F21</f>
        <v>1684746.6600000001</v>
      </c>
      <c r="G24" s="7">
        <f>[1]Ativo!G21</f>
        <v>1624536.53</v>
      </c>
      <c r="H24" s="7">
        <f>[1]Ativo!H21</f>
        <v>1610729.2700000003</v>
      </c>
      <c r="I24" s="8">
        <f>[1]Ativo!I21</f>
        <v>1696153.3399999999</v>
      </c>
    </row>
    <row r="25" spans="2:9" ht="15.75" x14ac:dyDescent="0.25">
      <c r="B25" s="6" t="str">
        <f>[1]Ativo!B22</f>
        <v>Investimentos</v>
      </c>
      <c r="C25" s="7">
        <f>[1]Ativo!C22</f>
        <v>34735.03</v>
      </c>
      <c r="D25" s="7">
        <f>[1]Ativo!D22</f>
        <v>51381.32</v>
      </c>
      <c r="E25" s="7">
        <f>[1]Ativo!E22</f>
        <v>0</v>
      </c>
      <c r="F25" s="7">
        <f>[1]Ativo!F22</f>
        <v>0</v>
      </c>
      <c r="G25" s="7">
        <f>[1]Ativo!G22</f>
        <v>0</v>
      </c>
      <c r="H25" s="7">
        <f>[1]Ativo!H22</f>
        <v>0</v>
      </c>
      <c r="I25" s="8">
        <f>[1]Ativo!I22</f>
        <v>0</v>
      </c>
    </row>
    <row r="26" spans="2:9" ht="15.75" x14ac:dyDescent="0.25">
      <c r="B26" s="6" t="str">
        <f>[1]Ativo!B23</f>
        <v>Imobilizado</v>
      </c>
      <c r="C26" s="7">
        <f>[1]Ativo!C23</f>
        <v>2030705.34</v>
      </c>
      <c r="D26" s="7">
        <f>[1]Ativo!D23</f>
        <v>1998400.34</v>
      </c>
      <c r="E26" s="7">
        <f>[1]Ativo!E23</f>
        <v>2060364.14</v>
      </c>
      <c r="F26" s="7">
        <f>[1]Ativo!F23</f>
        <v>2156606.87</v>
      </c>
      <c r="G26" s="7">
        <f>[1]Ativo!G23</f>
        <v>2173297</v>
      </c>
      <c r="H26" s="7">
        <f>[1]Ativo!H23</f>
        <v>2121414.9700000002</v>
      </c>
      <c r="I26" s="8">
        <f>[1]Ativo!I23</f>
        <v>2338869.5</v>
      </c>
    </row>
    <row r="27" spans="2:9" ht="15.75" x14ac:dyDescent="0.25">
      <c r="B27" s="6" t="str">
        <f>[1]Ativo!B24</f>
        <v>Depreciações</v>
      </c>
      <c r="C27" s="7">
        <f>[1]Ativo!C24</f>
        <v>-283875.15000000002</v>
      </c>
      <c r="D27" s="7">
        <f>[1]Ativo!D24</f>
        <v>-337263.79</v>
      </c>
      <c r="E27" s="7">
        <f>[1]Ativo!E24</f>
        <v>-402249.04</v>
      </c>
      <c r="F27" s="7">
        <f>[1]Ativo!F24</f>
        <v>-471860.21</v>
      </c>
      <c r="G27" s="7">
        <f>[1]Ativo!G24</f>
        <v>-549109.47</v>
      </c>
      <c r="H27" s="7">
        <f>[1]Ativo!H24</f>
        <v>-510685.7</v>
      </c>
      <c r="I27" s="8">
        <f>[1]Ativo!I24</f>
        <v>-642716.16000000003</v>
      </c>
    </row>
    <row r="28" spans="2:9" ht="15.75" x14ac:dyDescent="0.25">
      <c r="B28" s="12" t="str">
        <f>[1]Ativo!B25</f>
        <v>Intangível</v>
      </c>
      <c r="C28" s="13">
        <f>[1]Ativo!C25</f>
        <v>0</v>
      </c>
      <c r="D28" s="13">
        <f>[1]Ativo!D25</f>
        <v>0</v>
      </c>
      <c r="E28" s="13">
        <f>[1]Ativo!E25</f>
        <v>0</v>
      </c>
      <c r="F28" s="13">
        <f>[1]Ativo!F25</f>
        <v>0</v>
      </c>
      <c r="G28" s="13">
        <f>[1]Ativo!G25</f>
        <v>349</v>
      </c>
      <c r="H28" s="13">
        <f>[1]Ativo!H25</f>
        <v>0</v>
      </c>
      <c r="I28" s="14">
        <f>[1]Ativo!I25</f>
        <v>0</v>
      </c>
    </row>
    <row r="31" spans="2:9" ht="15.75" x14ac:dyDescent="0.25">
      <c r="B31" s="171" t="s">
        <v>2</v>
      </c>
      <c r="C31" s="172"/>
      <c r="D31" s="172"/>
      <c r="E31" s="172"/>
      <c r="F31" s="172"/>
      <c r="G31" s="172"/>
      <c r="H31" s="172"/>
      <c r="I31" s="173"/>
    </row>
    <row r="32" spans="2:9" ht="15.75" x14ac:dyDescent="0.25">
      <c r="B32" s="34" t="s">
        <v>1</v>
      </c>
      <c r="C32" s="35">
        <v>2005</v>
      </c>
      <c r="D32" s="35">
        <v>2006</v>
      </c>
      <c r="E32" s="35">
        <v>2007</v>
      </c>
      <c r="F32" s="35">
        <v>2008</v>
      </c>
      <c r="G32" s="35">
        <v>2009</v>
      </c>
      <c r="H32" s="35">
        <v>2010</v>
      </c>
      <c r="I32" s="36">
        <v>2011</v>
      </c>
    </row>
    <row r="33" spans="2:9" s="39" customFormat="1" ht="15.75" x14ac:dyDescent="0.25">
      <c r="B33" s="31" t="s">
        <v>3</v>
      </c>
      <c r="C33" s="37">
        <v>2243009.6799999997</v>
      </c>
      <c r="D33" s="37">
        <v>2169927.92</v>
      </c>
      <c r="E33" s="37">
        <v>2240629.15</v>
      </c>
      <c r="F33" s="37">
        <v>2837378.58</v>
      </c>
      <c r="G33" s="37">
        <v>2951864.01</v>
      </c>
      <c r="H33" s="37">
        <v>3297117.28</v>
      </c>
      <c r="I33" s="38">
        <v>3748492.2</v>
      </c>
    </row>
    <row r="34" spans="2:9" ht="15" x14ac:dyDescent="0.2">
      <c r="B34" s="20"/>
      <c r="C34" s="24"/>
      <c r="D34" s="24"/>
      <c r="E34" s="24"/>
      <c r="F34" s="24"/>
      <c r="G34" s="24"/>
      <c r="H34" s="24"/>
      <c r="I34" s="25"/>
    </row>
    <row r="35" spans="2:9" s="39" customFormat="1" ht="15.75" x14ac:dyDescent="0.25">
      <c r="B35" s="31" t="s">
        <v>4</v>
      </c>
      <c r="C35" s="37">
        <v>77750.070000000007</v>
      </c>
      <c r="D35" s="37">
        <v>109195.83000000002</v>
      </c>
      <c r="E35" s="37">
        <v>77883.23000000001</v>
      </c>
      <c r="F35" s="37">
        <v>173831.4</v>
      </c>
      <c r="G35" s="37">
        <v>71852.350000000006</v>
      </c>
      <c r="H35" s="37">
        <v>95933.91</v>
      </c>
      <c r="I35" s="38">
        <v>227232.58</v>
      </c>
    </row>
    <row r="36" spans="2:9" s="39" customFormat="1" ht="15.75" x14ac:dyDescent="0.25">
      <c r="B36" s="31" t="s">
        <v>5</v>
      </c>
      <c r="C36" s="37">
        <v>26912.9</v>
      </c>
      <c r="D36" s="37">
        <v>58813.08</v>
      </c>
      <c r="E36" s="37">
        <v>41255.49</v>
      </c>
      <c r="F36" s="37">
        <v>142802.63</v>
      </c>
      <c r="G36" s="37">
        <v>49313.55</v>
      </c>
      <c r="H36" s="37">
        <v>47646.67</v>
      </c>
      <c r="I36" s="38">
        <v>101120.26</v>
      </c>
    </row>
    <row r="37" spans="2:9" s="39" customFormat="1" ht="15.75" x14ac:dyDescent="0.25">
      <c r="B37" s="31" t="s">
        <v>6</v>
      </c>
      <c r="C37" s="37">
        <v>16700.38</v>
      </c>
      <c r="D37" s="37">
        <v>4153.87</v>
      </c>
      <c r="E37" s="37">
        <v>0</v>
      </c>
      <c r="F37" s="37">
        <v>0</v>
      </c>
      <c r="G37" s="37">
        <v>0</v>
      </c>
      <c r="H37" s="37">
        <v>0</v>
      </c>
      <c r="I37" s="38">
        <v>74697.710000000006</v>
      </c>
    </row>
    <row r="38" spans="2:9" s="39" customFormat="1" ht="15.75" x14ac:dyDescent="0.25">
      <c r="B38" s="31" t="s">
        <v>7</v>
      </c>
      <c r="C38" s="37">
        <v>13604.349999999999</v>
      </c>
      <c r="D38" s="37">
        <v>13075.34</v>
      </c>
      <c r="E38" s="37">
        <v>13125.86</v>
      </c>
      <c r="F38" s="37">
        <v>14712.32</v>
      </c>
      <c r="G38" s="37">
        <v>13890.350000000002</v>
      </c>
      <c r="H38" s="37">
        <v>16429.850000000002</v>
      </c>
      <c r="I38" s="38">
        <v>23818.9</v>
      </c>
    </row>
    <row r="39" spans="2:9" ht="15" x14ac:dyDescent="0.2">
      <c r="B39" s="20" t="s">
        <v>8</v>
      </c>
      <c r="C39" s="24">
        <v>1255.17</v>
      </c>
      <c r="D39" s="24">
        <v>1482.09</v>
      </c>
      <c r="E39" s="24">
        <v>2440.5</v>
      </c>
      <c r="F39" s="24">
        <v>2954.81</v>
      </c>
      <c r="G39" s="24">
        <v>2584.2800000000002</v>
      </c>
      <c r="H39" s="24">
        <v>4091.78</v>
      </c>
      <c r="I39" s="25">
        <v>6301.65</v>
      </c>
    </row>
    <row r="40" spans="2:9" ht="15" x14ac:dyDescent="0.2">
      <c r="B40" s="20" t="s">
        <v>9</v>
      </c>
      <c r="C40" s="24">
        <v>10806.89</v>
      </c>
      <c r="D40" s="24">
        <v>9773.25</v>
      </c>
      <c r="E40" s="24">
        <v>10298.93</v>
      </c>
      <c r="F40" s="24">
        <v>11336.58</v>
      </c>
      <c r="G40" s="24">
        <v>11195.28</v>
      </c>
      <c r="H40" s="24">
        <v>11472.45</v>
      </c>
      <c r="I40" s="25">
        <v>16531.900000000001</v>
      </c>
    </row>
    <row r="41" spans="2:9" ht="15" x14ac:dyDescent="0.2">
      <c r="B41" s="20" t="s">
        <v>10</v>
      </c>
      <c r="C41" s="24">
        <v>1542.29</v>
      </c>
      <c r="D41" s="24">
        <v>1820</v>
      </c>
      <c r="E41" s="24">
        <v>386.43</v>
      </c>
      <c r="F41" s="24">
        <v>420.93</v>
      </c>
      <c r="G41" s="24">
        <v>110.79</v>
      </c>
      <c r="H41" s="24">
        <v>865.62</v>
      </c>
      <c r="I41" s="25">
        <v>985.35</v>
      </c>
    </row>
    <row r="42" spans="2:9" s="39" customFormat="1" ht="15.75" x14ac:dyDescent="0.25">
      <c r="B42" s="31" t="s">
        <v>11</v>
      </c>
      <c r="C42" s="37">
        <v>4037.37</v>
      </c>
      <c r="D42" s="37">
        <v>5756.36</v>
      </c>
      <c r="E42" s="37">
        <v>13127.92</v>
      </c>
      <c r="F42" s="37">
        <v>15006.3</v>
      </c>
      <c r="G42" s="37">
        <v>7898.45</v>
      </c>
      <c r="H42" s="37">
        <v>25265.51</v>
      </c>
      <c r="I42" s="38">
        <v>24470.71</v>
      </c>
    </row>
    <row r="43" spans="2:9" s="39" customFormat="1" ht="15.75" x14ac:dyDescent="0.25">
      <c r="B43" s="31" t="s">
        <v>12</v>
      </c>
      <c r="C43" s="37">
        <v>3839.47</v>
      </c>
      <c r="D43" s="37">
        <v>14741.58</v>
      </c>
      <c r="E43" s="37">
        <v>10373.959999999999</v>
      </c>
      <c r="F43" s="37">
        <v>1310.1500000000001</v>
      </c>
      <c r="G43" s="37">
        <v>750</v>
      </c>
      <c r="H43" s="37">
        <v>6591.88</v>
      </c>
      <c r="I43" s="38">
        <v>3125</v>
      </c>
    </row>
    <row r="44" spans="2:9" s="39" customFormat="1" ht="15.75" x14ac:dyDescent="0.25">
      <c r="B44" s="31" t="s">
        <v>13</v>
      </c>
      <c r="C44" s="37">
        <v>12655.6</v>
      </c>
      <c r="D44" s="37">
        <v>12655.6</v>
      </c>
      <c r="E44" s="37">
        <v>0</v>
      </c>
      <c r="F44" s="37">
        <v>0</v>
      </c>
      <c r="G44" s="37">
        <v>0</v>
      </c>
      <c r="H44" s="37">
        <v>0</v>
      </c>
      <c r="I44" s="38">
        <v>0</v>
      </c>
    </row>
    <row r="45" spans="2:9" ht="15" x14ac:dyDescent="0.2">
      <c r="B45" s="20"/>
      <c r="C45" s="24"/>
      <c r="D45" s="24"/>
      <c r="E45" s="24"/>
      <c r="F45" s="24"/>
      <c r="G45" s="24"/>
      <c r="H45" s="24"/>
      <c r="I45" s="25"/>
    </row>
    <row r="46" spans="2:9" s="39" customFormat="1" ht="15.75" x14ac:dyDescent="0.25">
      <c r="B46" s="31" t="s">
        <v>14</v>
      </c>
      <c r="C46" s="37">
        <v>0</v>
      </c>
      <c r="D46" s="37">
        <v>0</v>
      </c>
      <c r="E46" s="37">
        <v>0</v>
      </c>
      <c r="F46" s="37">
        <v>67312.679999999993</v>
      </c>
      <c r="G46" s="37">
        <v>36033.72</v>
      </c>
      <c r="H46" s="37">
        <v>4754.76</v>
      </c>
      <c r="I46" s="38">
        <v>0</v>
      </c>
    </row>
    <row r="47" spans="2:9" ht="15" x14ac:dyDescent="0.2">
      <c r="B47" s="20" t="s">
        <v>15</v>
      </c>
      <c r="C47" s="24">
        <v>0</v>
      </c>
      <c r="D47" s="24">
        <v>0</v>
      </c>
      <c r="E47" s="24">
        <v>0</v>
      </c>
      <c r="F47" s="24">
        <v>67312.679999999993</v>
      </c>
      <c r="G47" s="24">
        <v>36033.72</v>
      </c>
      <c r="H47" s="24">
        <v>4754.76</v>
      </c>
      <c r="I47" s="25">
        <v>0</v>
      </c>
    </row>
    <row r="48" spans="2:9" ht="15" x14ac:dyDescent="0.2">
      <c r="B48" s="20"/>
      <c r="C48" s="24"/>
      <c r="D48" s="24"/>
      <c r="E48" s="24"/>
      <c r="F48" s="24"/>
      <c r="G48" s="24"/>
      <c r="H48" s="24"/>
      <c r="I48" s="25"/>
    </row>
    <row r="49" spans="2:9" s="39" customFormat="1" ht="15.75" x14ac:dyDescent="0.25">
      <c r="B49" s="31" t="s">
        <v>16</v>
      </c>
      <c r="C49" s="37">
        <v>2165259.61</v>
      </c>
      <c r="D49" s="37">
        <v>2060732.0899999999</v>
      </c>
      <c r="E49" s="37">
        <v>2162745.92</v>
      </c>
      <c r="F49" s="37">
        <v>2596234.5</v>
      </c>
      <c r="G49" s="37">
        <v>2843977.94</v>
      </c>
      <c r="H49" s="37">
        <v>3196428.61</v>
      </c>
      <c r="I49" s="38">
        <v>3521259.62</v>
      </c>
    </row>
    <row r="50" spans="2:9" s="39" customFormat="1" ht="15.75" x14ac:dyDescent="0.25">
      <c r="B50" s="31" t="s">
        <v>17</v>
      </c>
      <c r="C50" s="37">
        <v>40000</v>
      </c>
      <c r="D50" s="37">
        <v>40000</v>
      </c>
      <c r="E50" s="37">
        <v>200000</v>
      </c>
      <c r="F50" s="37">
        <v>200000</v>
      </c>
      <c r="G50" s="37">
        <v>200000</v>
      </c>
      <c r="H50" s="37">
        <v>200000</v>
      </c>
      <c r="I50" s="38">
        <v>200000</v>
      </c>
    </row>
    <row r="51" spans="2:9" ht="15" x14ac:dyDescent="0.2">
      <c r="B51" s="20" t="s">
        <v>18</v>
      </c>
      <c r="C51" s="24">
        <v>200000</v>
      </c>
      <c r="D51" s="24">
        <v>200000</v>
      </c>
      <c r="E51" s="24">
        <v>200000</v>
      </c>
      <c r="F51" s="24">
        <v>200000</v>
      </c>
      <c r="G51" s="24">
        <v>200000</v>
      </c>
      <c r="H51" s="24">
        <v>200000</v>
      </c>
      <c r="I51" s="25">
        <v>200000</v>
      </c>
    </row>
    <row r="52" spans="2:9" ht="15" x14ac:dyDescent="0.2">
      <c r="B52" s="20" t="s">
        <v>19</v>
      </c>
      <c r="C52" s="24">
        <v>160000</v>
      </c>
      <c r="D52" s="24">
        <v>160000</v>
      </c>
      <c r="E52" s="24">
        <v>0</v>
      </c>
      <c r="F52" s="24">
        <v>0</v>
      </c>
      <c r="G52" s="24">
        <v>0</v>
      </c>
      <c r="H52" s="24">
        <v>0</v>
      </c>
      <c r="I52" s="25">
        <v>0</v>
      </c>
    </row>
    <row r="53" spans="2:9" s="39" customFormat="1" ht="15.75" x14ac:dyDescent="0.25">
      <c r="B53" s="31" t="s">
        <v>20</v>
      </c>
      <c r="C53" s="37">
        <v>1507812.45</v>
      </c>
      <c r="D53" s="37">
        <v>1507812.45</v>
      </c>
      <c r="E53" s="37">
        <v>1507812.45</v>
      </c>
      <c r="F53" s="37">
        <v>1507812.45</v>
      </c>
      <c r="G53" s="37">
        <v>1507812.45</v>
      </c>
      <c r="H53" s="37">
        <v>1507812.45</v>
      </c>
      <c r="I53" s="38">
        <v>1507812.45</v>
      </c>
    </row>
    <row r="54" spans="2:9" s="39" customFormat="1" ht="15.75" x14ac:dyDescent="0.25">
      <c r="B54" s="34" t="s">
        <v>21</v>
      </c>
      <c r="C54" s="40">
        <v>617447.16</v>
      </c>
      <c r="D54" s="40">
        <v>512919.64</v>
      </c>
      <c r="E54" s="40">
        <v>454933.47</v>
      </c>
      <c r="F54" s="40">
        <v>888422.05</v>
      </c>
      <c r="G54" s="40">
        <v>1136165.49</v>
      </c>
      <c r="H54" s="40">
        <v>1488616.16</v>
      </c>
      <c r="I54" s="41">
        <v>1813447.17</v>
      </c>
    </row>
  </sheetData>
  <mergeCells count="2">
    <mergeCell ref="B2:I2"/>
    <mergeCell ref="B31:I31"/>
  </mergeCells>
  <pageMargins left="0.511811024" right="0.511811024" top="0.78740157499999996" bottom="0.78740157499999996" header="0.31496062000000002" footer="0.31496062000000002"/>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
  <sheetViews>
    <sheetView tabSelected="1" workbookViewId="0">
      <selection activeCell="D17" sqref="D17"/>
    </sheetView>
  </sheetViews>
  <sheetFormatPr defaultRowHeight="15" x14ac:dyDescent="0.2"/>
  <cols>
    <col min="1" max="1" width="9.140625" style="18"/>
    <col min="2" max="2" width="17" style="18" bestFit="1" customWidth="1"/>
    <col min="3" max="4" width="8.42578125" style="18" bestFit="1" customWidth="1"/>
    <col min="5" max="13" width="9.7109375" style="18" bestFit="1" customWidth="1"/>
    <col min="14" max="16384" width="9.140625" style="18"/>
  </cols>
  <sheetData>
    <row r="2" spans="2:13" ht="15.75" x14ac:dyDescent="0.25">
      <c r="B2" s="103" t="s">
        <v>119</v>
      </c>
      <c r="C2" s="104" t="s">
        <v>59</v>
      </c>
      <c r="D2" s="104" t="s">
        <v>60</v>
      </c>
      <c r="E2" s="104" t="s">
        <v>61</v>
      </c>
      <c r="F2" s="104" t="s">
        <v>62</v>
      </c>
      <c r="G2" s="104" t="s">
        <v>63</v>
      </c>
      <c r="H2" s="104" t="s">
        <v>64</v>
      </c>
      <c r="I2" s="104" t="s">
        <v>65</v>
      </c>
      <c r="J2" s="104" t="s">
        <v>66</v>
      </c>
      <c r="K2" s="104" t="s">
        <v>67</v>
      </c>
      <c r="L2" s="104" t="s">
        <v>68</v>
      </c>
      <c r="M2" s="105" t="s">
        <v>69</v>
      </c>
    </row>
    <row r="3" spans="2:13" x14ac:dyDescent="0.2">
      <c r="B3" s="20" t="s">
        <v>71</v>
      </c>
      <c r="C3" s="111">
        <v>2023.4669799999999</v>
      </c>
      <c r="D3" s="125">
        <v>1.8050999999999999</v>
      </c>
      <c r="E3" s="125">
        <v>1.21</v>
      </c>
      <c r="F3" s="125">
        <v>0.80879999999999996</v>
      </c>
      <c r="G3" s="125">
        <v>0.53210000000000002</v>
      </c>
      <c r="H3" s="125">
        <v>0.27889999999999998</v>
      </c>
      <c r="I3" s="125">
        <v>0.156</v>
      </c>
      <c r="J3" s="125">
        <v>9.6000000000000002E-2</v>
      </c>
      <c r="K3" s="125">
        <v>6.1600000000000002E-2</v>
      </c>
      <c r="L3" s="125">
        <v>2.1000000000000001E-2</v>
      </c>
      <c r="M3" s="126">
        <v>2.1000000000000001E-2</v>
      </c>
    </row>
    <row r="4" spans="2:13" x14ac:dyDescent="0.2">
      <c r="B4" s="23" t="s">
        <v>70</v>
      </c>
      <c r="C4" s="109">
        <v>2023.4669799999999</v>
      </c>
      <c r="D4" s="109">
        <v>5676.0272255979999</v>
      </c>
      <c r="E4" s="109">
        <v>12544.02016857158</v>
      </c>
      <c r="F4" s="109">
        <v>22689.623680912271</v>
      </c>
      <c r="G4" s="109">
        <v>34762.772441525689</v>
      </c>
      <c r="H4" s="109">
        <v>44458.109675467211</v>
      </c>
      <c r="I4" s="109">
        <v>51393.574784840093</v>
      </c>
      <c r="J4" s="109">
        <v>56327.357964184739</v>
      </c>
      <c r="K4" s="109">
        <v>59797.123214778519</v>
      </c>
      <c r="L4" s="109">
        <v>61052.862802288866</v>
      </c>
      <c r="M4" s="110">
        <v>62334.972921136934</v>
      </c>
    </row>
  </sheetData>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7"/>
  <sheetViews>
    <sheetView topLeftCell="A13" workbookViewId="0">
      <selection activeCell="C22" sqref="C22"/>
    </sheetView>
  </sheetViews>
  <sheetFormatPr defaultRowHeight="15" x14ac:dyDescent="0.2"/>
  <cols>
    <col min="1" max="1" width="9.140625" style="18"/>
    <col min="2" max="2" width="31.28515625" style="18" bestFit="1" customWidth="1"/>
    <col min="3" max="3" width="8.42578125" style="18" bestFit="1" customWidth="1"/>
    <col min="4" max="12" width="9.7109375" style="18" bestFit="1" customWidth="1"/>
    <col min="13" max="16384" width="9.140625" style="18"/>
  </cols>
  <sheetData>
    <row r="2" spans="2:12" ht="15.75" x14ac:dyDescent="0.25">
      <c r="B2" s="119" t="str">
        <f>[2]DRE!B4</f>
        <v>DRE</v>
      </c>
      <c r="C2" s="120" t="str">
        <f>[2]DRE!D4</f>
        <v>Ano 1</v>
      </c>
      <c r="D2" s="120" t="str">
        <f>[2]DRE!E4</f>
        <v>Ano 2</v>
      </c>
      <c r="E2" s="120" t="str">
        <f>[2]DRE!F4</f>
        <v>Ano 3</v>
      </c>
      <c r="F2" s="120" t="str">
        <f>[2]DRE!G4</f>
        <v>Ano 4</v>
      </c>
      <c r="G2" s="120" t="str">
        <f>[2]DRE!H4</f>
        <v>Ano 5</v>
      </c>
      <c r="H2" s="120" t="str">
        <f>[2]DRE!I4</f>
        <v>Ano 6</v>
      </c>
      <c r="I2" s="120" t="str">
        <f>[2]DRE!J4</f>
        <v>Ano 7</v>
      </c>
      <c r="J2" s="120" t="str">
        <f>[2]DRE!K4</f>
        <v>Ano 8</v>
      </c>
      <c r="K2" s="120" t="str">
        <f>[2]DRE!L4</f>
        <v>Ano 9</v>
      </c>
      <c r="L2" s="121" t="str">
        <f>[2]DRE!M4</f>
        <v>Ano 10</v>
      </c>
    </row>
    <row r="3" spans="2:12" x14ac:dyDescent="0.2">
      <c r="B3" s="122"/>
      <c r="C3" s="123"/>
      <c r="D3" s="123"/>
      <c r="E3" s="123"/>
      <c r="F3" s="123"/>
      <c r="G3" s="123"/>
      <c r="H3" s="123"/>
      <c r="I3" s="123"/>
      <c r="J3" s="123"/>
      <c r="K3" s="123"/>
      <c r="L3" s="124"/>
    </row>
    <row r="4" spans="2:12" ht="15.75" x14ac:dyDescent="0.25">
      <c r="B4" s="31" t="str">
        <f>[2]DRE!B6</f>
        <v>Receita Líquida</v>
      </c>
      <c r="C4" s="112">
        <f>[2]DRE!D6/1000</f>
        <v>5676.0272255979999</v>
      </c>
      <c r="D4" s="112">
        <f>[2]DRE!E6/1000</f>
        <v>12544.02016857158</v>
      </c>
      <c r="E4" s="112">
        <f>[2]DRE!F6/1000</f>
        <v>22689.623680912271</v>
      </c>
      <c r="F4" s="112">
        <f>[2]DRE!G6/1000</f>
        <v>34762.772441525689</v>
      </c>
      <c r="G4" s="112">
        <f>[2]DRE!H6/1000</f>
        <v>44458.109675467211</v>
      </c>
      <c r="H4" s="112">
        <f>[2]DRE!I6/1000</f>
        <v>51393.574784840093</v>
      </c>
      <c r="I4" s="112">
        <f>[2]DRE!J6/1000</f>
        <v>56327.357964184739</v>
      </c>
      <c r="J4" s="112">
        <f>[2]DRE!K6/1000</f>
        <v>59797.123214778519</v>
      </c>
      <c r="K4" s="112">
        <f>[2]DRE!L6/1000</f>
        <v>61052.862802288866</v>
      </c>
      <c r="L4" s="115">
        <f>[2]DRE!M6/1000</f>
        <v>62334.972921136934</v>
      </c>
    </row>
    <row r="5" spans="2:12" x14ac:dyDescent="0.2">
      <c r="B5" s="20"/>
      <c r="C5" s="111"/>
      <c r="D5" s="111"/>
      <c r="E5" s="111"/>
      <c r="F5" s="111"/>
      <c r="G5" s="111"/>
      <c r="H5" s="111"/>
      <c r="I5" s="111"/>
      <c r="J5" s="111"/>
      <c r="K5" s="111"/>
      <c r="L5" s="114"/>
    </row>
    <row r="6" spans="2:12" ht="15.75" x14ac:dyDescent="0.25">
      <c r="B6" s="31" t="str">
        <f>[2]DRE!B9</f>
        <v>CPV</v>
      </c>
      <c r="C6" s="112">
        <f>[2]DRE!D9/1000</f>
        <v>2037.8159526147094</v>
      </c>
      <c r="D6" s="112">
        <f>[2]DRE!E9/1000</f>
        <v>4165.6287673897396</v>
      </c>
      <c r="E6" s="112">
        <f>[2]DRE!F9/1000</f>
        <v>7258.629177968005</v>
      </c>
      <c r="F6" s="112">
        <f>[2]DRE!G9/1000</f>
        <v>10916.599965823636</v>
      </c>
      <c r="G6" s="112">
        <f>[2]DRE!H9/1000</f>
        <v>13866.353017588513</v>
      </c>
      <c r="H6" s="112">
        <f>[2]DRE!I9/1000</f>
        <v>16012.3728327878</v>
      </c>
      <c r="I6" s="112">
        <f>[2]DRE!J9/1000</f>
        <v>17565.177041576469</v>
      </c>
      <c r="J6" s="112">
        <f>[2]DRE!K9/1000</f>
        <v>18694.100778679825</v>
      </c>
      <c r="K6" s="112">
        <f>[2]DRE!L9/1000</f>
        <v>19176.766960043893</v>
      </c>
      <c r="L6" s="115">
        <f>[2]DRE!M9/1000</f>
        <v>19678.966187377548</v>
      </c>
    </row>
    <row r="7" spans="2:12" x14ac:dyDescent="0.2">
      <c r="B7" s="20" t="str">
        <f>[2]DRE!B10</f>
        <v>Custos Variáveis</v>
      </c>
      <c r="C7" s="111">
        <f>[2]DRE!D10/1000</f>
        <v>1664.2111825453337</v>
      </c>
      <c r="D7" s="111">
        <f>[2]DRE!E10/1000</f>
        <v>3677.9067134251873</v>
      </c>
      <c r="E7" s="111">
        <f>[2]DRE!F10/1000</f>
        <v>6652.5976632434777</v>
      </c>
      <c r="F7" s="111">
        <f>[2]DRE!G10/1000</f>
        <v>10192.444879855331</v>
      </c>
      <c r="G7" s="111">
        <f>[2]DRE!H10/1000</f>
        <v>13035.117756846985</v>
      </c>
      <c r="H7" s="111">
        <f>[2]DRE!I10/1000</f>
        <v>15068.596126915116</v>
      </c>
      <c r="I7" s="111">
        <f>[2]DRE!J10/1000</f>
        <v>16515.181355098965</v>
      </c>
      <c r="J7" s="111">
        <f>[2]DRE!K10/1000</f>
        <v>17532.516526573061</v>
      </c>
      <c r="K7" s="111">
        <f>[2]DRE!L10/1000</f>
        <v>17900.699373631094</v>
      </c>
      <c r="L7" s="114">
        <f>[2]DRE!M10/1000</f>
        <v>18276.614060477346</v>
      </c>
    </row>
    <row r="8" spans="2:12" x14ac:dyDescent="0.2">
      <c r="B8" s="20" t="str">
        <f>[2]DRE!B13</f>
        <v>Custos Fixos</v>
      </c>
      <c r="C8" s="111">
        <f>[2]DRE!D13/1000</f>
        <v>373.60477006937583</v>
      </c>
      <c r="D8" s="111">
        <f>[2]DRE!E13/1000</f>
        <v>487.72205396455257</v>
      </c>
      <c r="E8" s="111">
        <f>[2]DRE!F13/1000</f>
        <v>606.03151472452771</v>
      </c>
      <c r="F8" s="111">
        <f>[2]DRE!G13/1000</f>
        <v>724.15508596830432</v>
      </c>
      <c r="G8" s="111">
        <f>[2]DRE!H13/1000</f>
        <v>831.23526074152892</v>
      </c>
      <c r="H8" s="111">
        <f>[2]DRE!I13/1000</f>
        <v>943.77670587268483</v>
      </c>
      <c r="I8" s="111">
        <f>[2]DRE!J13/1000</f>
        <v>1049.9956864775054</v>
      </c>
      <c r="J8" s="111">
        <f>[2]DRE!K13/1000</f>
        <v>1161.5842521067641</v>
      </c>
      <c r="K8" s="111">
        <f>[2]DRE!L13/1000</f>
        <v>1276.0675864128004</v>
      </c>
      <c r="L8" s="114">
        <f>[2]DRE!M13/1000</f>
        <v>1402.3521269001999</v>
      </c>
    </row>
    <row r="9" spans="2:12" x14ac:dyDescent="0.2">
      <c r="B9" s="20"/>
      <c r="C9" s="111"/>
      <c r="D9" s="111"/>
      <c r="E9" s="111"/>
      <c r="F9" s="111"/>
      <c r="G9" s="111"/>
      <c r="H9" s="111"/>
      <c r="I9" s="111"/>
      <c r="J9" s="111"/>
      <c r="K9" s="111"/>
      <c r="L9" s="114"/>
    </row>
    <row r="10" spans="2:12" ht="15.75" x14ac:dyDescent="0.25">
      <c r="B10" s="31" t="str">
        <f>[2]DRE!B17</f>
        <v>Lucro Bruto</v>
      </c>
      <c r="C10" s="112">
        <f>[2]DRE!D17/1000</f>
        <v>3638.2112729832902</v>
      </c>
      <c r="D10" s="112">
        <f>[2]DRE!E17/1000</f>
        <v>8378.3914011818397</v>
      </c>
      <c r="E10" s="112">
        <f>[2]DRE!F17/1000</f>
        <v>15430.994502944266</v>
      </c>
      <c r="F10" s="112">
        <f>[2]DRE!G17/1000</f>
        <v>23846.172475702057</v>
      </c>
      <c r="G10" s="112">
        <f>[2]DRE!H17/1000</f>
        <v>30591.756657878697</v>
      </c>
      <c r="H10" s="112">
        <f>[2]DRE!I17/1000</f>
        <v>35381.201952052295</v>
      </c>
      <c r="I10" s="112">
        <f>[2]DRE!J17/1000</f>
        <v>38762.18092260827</v>
      </c>
      <c r="J10" s="112">
        <f>[2]DRE!K17/1000</f>
        <v>41103.022436098698</v>
      </c>
      <c r="K10" s="112">
        <f>[2]DRE!L17/1000</f>
        <v>41876.095842244977</v>
      </c>
      <c r="L10" s="115">
        <f>[2]DRE!M17/1000</f>
        <v>42656.006733759386</v>
      </c>
    </row>
    <row r="11" spans="2:12" x14ac:dyDescent="0.2">
      <c r="B11" s="20"/>
      <c r="C11" s="111"/>
      <c r="D11" s="111"/>
      <c r="E11" s="111"/>
      <c r="F11" s="111"/>
      <c r="G11" s="111"/>
      <c r="H11" s="111"/>
      <c r="I11" s="111"/>
      <c r="J11" s="111"/>
      <c r="K11" s="111"/>
      <c r="L11" s="114"/>
    </row>
    <row r="12" spans="2:12" ht="15.75" x14ac:dyDescent="0.25">
      <c r="B12" s="31" t="str">
        <f>[2]DRE!B19</f>
        <v>Despesas Operacionais</v>
      </c>
      <c r="C12" s="112">
        <f>[2]DRE!D19/1000</f>
        <v>3205.0847977179515</v>
      </c>
      <c r="D12" s="112">
        <f>[2]DRE!E19/1000</f>
        <v>5749.8055552988435</v>
      </c>
      <c r="E12" s="112">
        <f>[2]DRE!F19/1000</f>
        <v>9423.0458848037415</v>
      </c>
      <c r="F12" s="112">
        <f>[2]DRE!G19/1000</f>
        <v>13757.778420530914</v>
      </c>
      <c r="G12" s="112">
        <f>[2]DRE!H19/1000</f>
        <v>17257.106427488499</v>
      </c>
      <c r="H12" s="112">
        <f>[2]DRE!I19/1000</f>
        <v>19834.624504404652</v>
      </c>
      <c r="I12" s="112">
        <f>[2]DRE!J19/1000</f>
        <v>21689.851656777599</v>
      </c>
      <c r="J12" s="112">
        <f>[2]DRE!K19/1000</f>
        <v>23046.99872610579</v>
      </c>
      <c r="K12" s="112">
        <f>[2]DRE!L19/1000</f>
        <v>23645.308558950204</v>
      </c>
      <c r="L12" s="115">
        <f>[2]DRE!M19/1000</f>
        <v>24268.444911262788</v>
      </c>
    </row>
    <row r="13" spans="2:12" x14ac:dyDescent="0.2">
      <c r="B13" s="20" t="str">
        <f>[2]DRE!B20</f>
        <v>Despesas Administrativas</v>
      </c>
      <c r="C13" s="111">
        <f>[2]DRE!D20/1000</f>
        <v>592.88342272280704</v>
      </c>
      <c r="D13" s="111">
        <f>[2]DRE!E20/1000</f>
        <v>640.72621079016994</v>
      </c>
      <c r="E13" s="111">
        <f>[2]DRE!F20/1000</f>
        <v>685.0067091556748</v>
      </c>
      <c r="F13" s="111">
        <f>[2]DRE!G20/1000</f>
        <v>726.76104929292808</v>
      </c>
      <c r="G13" s="111">
        <f>[2]DRE!H20/1000</f>
        <v>765.29567220146748</v>
      </c>
      <c r="H13" s="111">
        <f>[2]DRE!I20/1000</f>
        <v>833.23639493718235</v>
      </c>
      <c r="I13" s="111">
        <f>[2]DRE!J20/1000</f>
        <v>873.63798101392342</v>
      </c>
      <c r="J13" s="111">
        <f>[2]DRE!K20/1000</f>
        <v>916.38057229209335</v>
      </c>
      <c r="K13" s="111">
        <f>[2]DRE!L20/1000</f>
        <v>961.38367629818481</v>
      </c>
      <c r="L13" s="114">
        <f>[2]DRE!M20/1000</f>
        <v>1010.3434081713348</v>
      </c>
    </row>
    <row r="14" spans="2:12" x14ac:dyDescent="0.2">
      <c r="B14" s="20" t="str">
        <f>[2]DRE!B26</f>
        <v>Despesas Comerciais</v>
      </c>
      <c r="C14" s="111">
        <f>[2]DRE!D26/1000</f>
        <v>2569.3343741663716</v>
      </c>
      <c r="D14" s="111">
        <f>[2]DRE!E26/1000</f>
        <v>5042.3872761607263</v>
      </c>
      <c r="E14" s="111">
        <f>[2]DRE!F26/1000</f>
        <v>8637.4968337106093</v>
      </c>
      <c r="F14" s="111">
        <f>[2]DRE!G26/1000</f>
        <v>12890.85654987248</v>
      </c>
      <c r="G14" s="111">
        <f>[2]DRE!H26/1000</f>
        <v>16320.081425120996</v>
      </c>
      <c r="H14" s="111">
        <f>[2]DRE!I26/1000</f>
        <v>18807.152851363186</v>
      </c>
      <c r="I14" s="111">
        <f>[2]DRE!J26/1000</f>
        <v>20605.995041549584</v>
      </c>
      <c r="J14" s="111">
        <f>[2]DRE!K26/1000</f>
        <v>21909.169769726035</v>
      </c>
      <c r="K14" s="111">
        <f>[2]DRE!L26/1000</f>
        <v>22458.414740866727</v>
      </c>
      <c r="L14" s="114">
        <f>[2]DRE!M26/1000</f>
        <v>23028.445126787119</v>
      </c>
    </row>
    <row r="15" spans="2:12" x14ac:dyDescent="0.2">
      <c r="B15" s="20" t="str">
        <f>[2]DRE!B34</f>
        <v>Despesas Tributárias</v>
      </c>
      <c r="C15" s="111">
        <f>[2]DRE!D34/1000</f>
        <v>3.0352004699999999</v>
      </c>
      <c r="D15" s="111">
        <f>[2]DRE!E34/1000</f>
        <v>3.0352004699999999</v>
      </c>
      <c r="E15" s="111">
        <f>[2]DRE!F34/1000</f>
        <v>3.0352004699999999</v>
      </c>
      <c r="F15" s="111">
        <f>[2]DRE!G34/1000</f>
        <v>3.0352004699999999</v>
      </c>
      <c r="G15" s="111">
        <f>[2]DRE!H34/1000</f>
        <v>3.0352004699999999</v>
      </c>
      <c r="H15" s="111">
        <f>[2]DRE!I34/1000</f>
        <v>3.0352004699999999</v>
      </c>
      <c r="I15" s="111">
        <f>[2]DRE!J34/1000</f>
        <v>3.0352004699999999</v>
      </c>
      <c r="J15" s="111">
        <f>[2]DRE!K34/1000</f>
        <v>3.0352004699999999</v>
      </c>
      <c r="K15" s="111">
        <f>[2]DRE!L34/1000</f>
        <v>3.0352004699999999</v>
      </c>
      <c r="L15" s="114">
        <f>[2]DRE!M34/1000</f>
        <v>3.0352004699999999</v>
      </c>
    </row>
    <row r="16" spans="2:12" x14ac:dyDescent="0.2">
      <c r="B16" s="20" t="str">
        <f>[2]DRE!B37</f>
        <v xml:space="preserve">Outras Receitas </v>
      </c>
      <c r="C16" s="111">
        <f>[2]DRE!D37/1000</f>
        <v>10.2168490060764</v>
      </c>
      <c r="D16" s="111">
        <f>[2]DRE!E37/1000</f>
        <v>22.579236303428843</v>
      </c>
      <c r="E16" s="111">
        <f>[2]DRE!F37/1000</f>
        <v>40.841322625642093</v>
      </c>
      <c r="F16" s="111">
        <f>[2]DRE!G37/1000</f>
        <v>62.572990394746235</v>
      </c>
      <c r="G16" s="111">
        <f>[2]DRE!H37/1000</f>
        <v>80.024597415840972</v>
      </c>
      <c r="H16" s="111">
        <f>[2]DRE!I37/1000</f>
        <v>92.508434612712165</v>
      </c>
      <c r="I16" s="111">
        <f>[2]DRE!J37/1000</f>
        <v>101.38924433553252</v>
      </c>
      <c r="J16" s="111">
        <f>[2]DRE!K37/1000</f>
        <v>107.63482178660134</v>
      </c>
      <c r="K16" s="111">
        <f>[2]DRE!L37/1000</f>
        <v>109.89515304411995</v>
      </c>
      <c r="L16" s="114">
        <f>[2]DRE!M37/1000</f>
        <v>112.20295125804647</v>
      </c>
    </row>
    <row r="17" spans="2:12" x14ac:dyDescent="0.2">
      <c r="B17" s="20" t="str">
        <f>[2]DRE!B38</f>
        <v xml:space="preserve">Outras Despesas </v>
      </c>
      <c r="C17" s="111">
        <f>[2]DRE!D38/1000</f>
        <v>28.380136127990003</v>
      </c>
      <c r="D17" s="111">
        <f>[2]DRE!E38/1000</f>
        <v>62.720100842857903</v>
      </c>
      <c r="E17" s="111">
        <f>[2]DRE!F38/1000</f>
        <v>113.44811840456136</v>
      </c>
      <c r="F17" s="111">
        <f>[2]DRE!G38/1000</f>
        <v>173.81386220762846</v>
      </c>
      <c r="G17" s="111">
        <f>[2]DRE!H38/1000</f>
        <v>222.29054837733602</v>
      </c>
      <c r="H17" s="111">
        <f>[2]DRE!I38/1000</f>
        <v>256.96787392420043</v>
      </c>
      <c r="I17" s="111">
        <f>[2]DRE!J38/1000</f>
        <v>281.6367898209237</v>
      </c>
      <c r="J17" s="111">
        <f>[2]DRE!K38/1000</f>
        <v>298.98561607389263</v>
      </c>
      <c r="K17" s="111">
        <f>[2]DRE!L38/1000</f>
        <v>305.26431401144436</v>
      </c>
      <c r="L17" s="114">
        <f>[2]DRE!M38/1000</f>
        <v>311.67486460568466</v>
      </c>
    </row>
    <row r="18" spans="2:12" x14ac:dyDescent="0.2">
      <c r="B18" s="20" t="str">
        <f>[2]DRE!B39</f>
        <v>Despesas Financeiras</v>
      </c>
      <c r="C18" s="111">
        <f>[2]DRE!D39/1000</f>
        <v>21.668513236858619</v>
      </c>
      <c r="D18" s="111">
        <f>[2]DRE!E39/1000</f>
        <v>23.516003338518512</v>
      </c>
      <c r="E18" s="111">
        <f>[2]DRE!F39/1000</f>
        <v>24.90034568853789</v>
      </c>
      <c r="F18" s="111">
        <f>[2]DRE!G39/1000</f>
        <v>25.884749082624992</v>
      </c>
      <c r="G18" s="111">
        <f>[2]DRE!H39/1000</f>
        <v>26.428178734539404</v>
      </c>
      <c r="H18" s="111">
        <f>[2]DRE!I39/1000</f>
        <v>26.74061832279822</v>
      </c>
      <c r="I18" s="111">
        <f>[2]DRE!J39/1000</f>
        <v>26.93588825869708</v>
      </c>
      <c r="J18" s="111">
        <f>[2]DRE!K39/1000</f>
        <v>27.062389330370653</v>
      </c>
      <c r="K18" s="111">
        <f>[2]DRE!L39/1000</f>
        <v>27.105780347964433</v>
      </c>
      <c r="L18" s="114">
        <f>[2]DRE!M39/1000</f>
        <v>27.149262486695157</v>
      </c>
    </row>
    <row r="19" spans="2:12" x14ac:dyDescent="0.2">
      <c r="B19" s="20" t="str">
        <f>[2]DRE!B42</f>
        <v>Receitas Financeiras</v>
      </c>
      <c r="C19" s="24">
        <f>[2]DRE!D42/1000</f>
        <v>0</v>
      </c>
      <c r="D19" s="24">
        <f>[2]DRE!E42/1000</f>
        <v>0</v>
      </c>
      <c r="E19" s="24">
        <f>[2]DRE!F42/1000</f>
        <v>0</v>
      </c>
      <c r="F19" s="24">
        <f>[2]DRE!G42/1000</f>
        <v>0</v>
      </c>
      <c r="G19" s="24">
        <f>[2]DRE!H42/1000</f>
        <v>0</v>
      </c>
      <c r="H19" s="24">
        <f>[2]DRE!I42/1000</f>
        <v>0</v>
      </c>
      <c r="I19" s="24">
        <f>[2]DRE!J42/1000</f>
        <v>0</v>
      </c>
      <c r="J19" s="24">
        <f>[2]DRE!K42/1000</f>
        <v>0</v>
      </c>
      <c r="K19" s="24">
        <f>[2]DRE!L42/1000</f>
        <v>0</v>
      </c>
      <c r="L19" s="25">
        <f>[2]DRE!M42/1000</f>
        <v>0</v>
      </c>
    </row>
    <row r="20" spans="2:12" x14ac:dyDescent="0.2">
      <c r="B20" s="20"/>
      <c r="C20" s="111"/>
      <c r="D20" s="111"/>
      <c r="E20" s="111"/>
      <c r="F20" s="111"/>
      <c r="G20" s="111"/>
      <c r="H20" s="111"/>
      <c r="I20" s="111"/>
      <c r="J20" s="111"/>
      <c r="K20" s="111"/>
      <c r="L20" s="114"/>
    </row>
    <row r="21" spans="2:12" ht="15.75" x14ac:dyDescent="0.25">
      <c r="B21" s="31" t="str">
        <f>[2]DRE!B44</f>
        <v>Resultado Antes de IR/CS</v>
      </c>
      <c r="C21" s="112">
        <f>[2]DRE!D44/1000</f>
        <v>433.12647526533902</v>
      </c>
      <c r="D21" s="112">
        <f>[2]DRE!E44/1000</f>
        <v>2628.5858458829971</v>
      </c>
      <c r="E21" s="112">
        <f>[2]DRE!F44/1000</f>
        <v>6007.9486181405246</v>
      </c>
      <c r="F21" s="112">
        <f>[2]DRE!G44/1000</f>
        <v>10088.39405517114</v>
      </c>
      <c r="G21" s="112">
        <f>[2]DRE!H44/1000</f>
        <v>13334.650230390198</v>
      </c>
      <c r="H21" s="112">
        <f>[2]DRE!I44/1000</f>
        <v>15546.577447647642</v>
      </c>
      <c r="I21" s="112">
        <f>[2]DRE!J44/1000</f>
        <v>17072.329265830675</v>
      </c>
      <c r="J21" s="112">
        <f>[2]DRE!K44/1000</f>
        <v>18056.023709992904</v>
      </c>
      <c r="K21" s="112">
        <f>[2]DRE!L44/1000</f>
        <v>18230.787283294772</v>
      </c>
      <c r="L21" s="115">
        <f>[2]DRE!M44/1000</f>
        <v>18387.561822496602</v>
      </c>
    </row>
    <row r="22" spans="2:12" x14ac:dyDescent="0.2">
      <c r="B22" s="20"/>
      <c r="C22" s="111"/>
      <c r="D22" s="111"/>
      <c r="E22" s="111"/>
      <c r="F22" s="111"/>
      <c r="G22" s="111"/>
      <c r="H22" s="111"/>
      <c r="I22" s="111"/>
      <c r="J22" s="111"/>
      <c r="K22" s="111"/>
      <c r="L22" s="114"/>
    </row>
    <row r="23" spans="2:12" ht="15.75" x14ac:dyDescent="0.25">
      <c r="B23" s="31" t="str">
        <f>[2]DRE!B46</f>
        <v>Impostos sobre o lucro</v>
      </c>
      <c r="C23" s="112">
        <f>[2]DRE!D46/1000</f>
        <v>0</v>
      </c>
      <c r="D23" s="112">
        <f>[2]DRE!E46/1000</f>
        <v>0</v>
      </c>
      <c r="E23" s="112">
        <f>[2]DRE!F46/1000</f>
        <v>0</v>
      </c>
      <c r="F23" s="112">
        <f>[2]DRE!G46/1000</f>
        <v>0</v>
      </c>
      <c r="G23" s="112">
        <f>[2]DRE!H46/1000</f>
        <v>0</v>
      </c>
      <c r="H23" s="112">
        <f>[2]DRE!I46/1000</f>
        <v>0</v>
      </c>
      <c r="I23" s="112">
        <f>[2]DRE!J46/1000</f>
        <v>0</v>
      </c>
      <c r="J23" s="112">
        <f>[2]DRE!K46/1000</f>
        <v>0</v>
      </c>
      <c r="K23" s="112">
        <f>[2]DRE!L46/1000</f>
        <v>0</v>
      </c>
      <c r="L23" s="115">
        <f>[2]DRE!M46/1000</f>
        <v>0</v>
      </c>
    </row>
    <row r="24" spans="2:12" x14ac:dyDescent="0.2">
      <c r="B24" s="20" t="str">
        <f>[2]DRE!B47</f>
        <v>Provisão Contribuição Social</v>
      </c>
      <c r="C24" s="111">
        <f>[2]DRE!D47/1000</f>
        <v>0</v>
      </c>
      <c r="D24" s="111">
        <f>[2]DRE!E47/1000</f>
        <v>0</v>
      </c>
      <c r="E24" s="111">
        <f>[2]DRE!F47/1000</f>
        <v>0</v>
      </c>
      <c r="F24" s="111">
        <f>[2]DRE!G47/1000</f>
        <v>0</v>
      </c>
      <c r="G24" s="111">
        <f>[2]DRE!H47/1000</f>
        <v>0</v>
      </c>
      <c r="H24" s="111">
        <f>[2]DRE!I47/1000</f>
        <v>0</v>
      </c>
      <c r="I24" s="111">
        <f>[2]DRE!J47/1000</f>
        <v>0</v>
      </c>
      <c r="J24" s="111">
        <f>[2]DRE!K47/1000</f>
        <v>0</v>
      </c>
      <c r="K24" s="111">
        <f>[2]DRE!L47/1000</f>
        <v>0</v>
      </c>
      <c r="L24" s="114">
        <f>[2]DRE!M47/1000</f>
        <v>0</v>
      </c>
    </row>
    <row r="25" spans="2:12" x14ac:dyDescent="0.2">
      <c r="B25" s="20" t="str">
        <f>[2]DRE!B48</f>
        <v xml:space="preserve">Provisão Imposto de Renda </v>
      </c>
      <c r="C25" s="111">
        <f>[2]DRE!D48/1000</f>
        <v>0</v>
      </c>
      <c r="D25" s="111">
        <f>[2]DRE!E48/1000</f>
        <v>0</v>
      </c>
      <c r="E25" s="111">
        <f>[2]DRE!F48/1000</f>
        <v>0</v>
      </c>
      <c r="F25" s="111">
        <f>[2]DRE!G48/1000</f>
        <v>0</v>
      </c>
      <c r="G25" s="111">
        <f>[2]DRE!H48/1000</f>
        <v>0</v>
      </c>
      <c r="H25" s="111">
        <f>[2]DRE!I48/1000</f>
        <v>0</v>
      </c>
      <c r="I25" s="111">
        <f>[2]DRE!J48/1000</f>
        <v>0</v>
      </c>
      <c r="J25" s="111">
        <f>[2]DRE!K48/1000</f>
        <v>0</v>
      </c>
      <c r="K25" s="111">
        <f>[2]DRE!L48/1000</f>
        <v>0</v>
      </c>
      <c r="L25" s="114">
        <f>[2]DRE!M48/1000</f>
        <v>0</v>
      </c>
    </row>
    <row r="26" spans="2:12" x14ac:dyDescent="0.2">
      <c r="B26" s="20"/>
      <c r="C26" s="111"/>
      <c r="D26" s="111"/>
      <c r="E26" s="111"/>
      <c r="F26" s="111"/>
      <c r="G26" s="111"/>
      <c r="H26" s="111"/>
      <c r="I26" s="111"/>
      <c r="J26" s="111"/>
      <c r="K26" s="111"/>
      <c r="L26" s="114"/>
    </row>
    <row r="27" spans="2:12" ht="15.75" x14ac:dyDescent="0.25">
      <c r="B27" s="34" t="str">
        <f>[2]DRE!B50</f>
        <v>Lucro Operacional Após IR</v>
      </c>
      <c r="C27" s="117">
        <f>[2]DRE!D50/1000</f>
        <v>433.12647526533902</v>
      </c>
      <c r="D27" s="117">
        <f>[2]DRE!E50/1000</f>
        <v>2628.5858458829971</v>
      </c>
      <c r="E27" s="117">
        <f>[2]DRE!F50/1000</f>
        <v>6007.9486181405246</v>
      </c>
      <c r="F27" s="117">
        <f>[2]DRE!G50/1000</f>
        <v>10088.39405517114</v>
      </c>
      <c r="G27" s="117">
        <f>[2]DRE!H50/1000</f>
        <v>13334.650230390198</v>
      </c>
      <c r="H27" s="117">
        <f>[2]DRE!I50/1000</f>
        <v>15546.577447647642</v>
      </c>
      <c r="I27" s="117">
        <f>[2]DRE!J50/1000</f>
        <v>17072.329265830675</v>
      </c>
      <c r="J27" s="117">
        <f>[2]DRE!K50/1000</f>
        <v>18056.023709992904</v>
      </c>
      <c r="K27" s="117">
        <f>[2]DRE!L50/1000</f>
        <v>18230.787283294772</v>
      </c>
      <c r="L27" s="118">
        <f>[2]DRE!M50/1000</f>
        <v>18387.561822496602</v>
      </c>
    </row>
  </sheetData>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
  <sheetViews>
    <sheetView workbookViewId="0">
      <selection activeCell="J18" sqref="J18"/>
    </sheetView>
  </sheetViews>
  <sheetFormatPr defaultRowHeight="15" x14ac:dyDescent="0.2"/>
  <cols>
    <col min="1" max="1" width="9.140625" style="18"/>
    <col min="2" max="2" width="28" style="18" bestFit="1" customWidth="1"/>
    <col min="3" max="16384" width="9.140625" style="18"/>
  </cols>
  <sheetData>
    <row r="2" spans="2:13" ht="15.75" x14ac:dyDescent="0.25">
      <c r="B2" s="103" t="s">
        <v>131</v>
      </c>
      <c r="C2" s="104" t="str">
        <f>[2]Imobilizado!C4</f>
        <v>Ano 0</v>
      </c>
      <c r="D2" s="104" t="str">
        <f>[2]Imobilizado!D4</f>
        <v>Ano 1</v>
      </c>
      <c r="E2" s="104" t="str">
        <f>[2]Imobilizado!E4</f>
        <v>Ano 2</v>
      </c>
      <c r="F2" s="104" t="str">
        <f>[2]Imobilizado!F4</f>
        <v>Ano 3</v>
      </c>
      <c r="G2" s="104" t="str">
        <f>[2]Imobilizado!G4</f>
        <v>Ano 4</v>
      </c>
      <c r="H2" s="104" t="str">
        <f>[2]Imobilizado!H4</f>
        <v>Ano 5</v>
      </c>
      <c r="I2" s="104" t="str">
        <f>[2]Imobilizado!I4</f>
        <v>Ano 6</v>
      </c>
      <c r="J2" s="104" t="str">
        <f>[2]Imobilizado!J4</f>
        <v>Ano 7</v>
      </c>
      <c r="K2" s="104" t="str">
        <f>[2]Imobilizado!K4</f>
        <v>Ano 8</v>
      </c>
      <c r="L2" s="104" t="str">
        <f>[2]Imobilizado!L4</f>
        <v>Ano 9</v>
      </c>
      <c r="M2" s="105" t="str">
        <f>[2]Imobilizado!M4</f>
        <v>Ano 10</v>
      </c>
    </row>
    <row r="3" spans="2:13" ht="15.75" x14ac:dyDescent="0.25">
      <c r="B3" s="31" t="str">
        <f>[2]Imobilizado!B6</f>
        <v>Imobilizado</v>
      </c>
      <c r="C3" s="112">
        <f>[2]Imobilizado!C6/1000</f>
        <v>2338.8694999999998</v>
      </c>
      <c r="D3" s="112">
        <f>[2]Imobilizado!D6/1000</f>
        <v>2397.3412374999998</v>
      </c>
      <c r="E3" s="112">
        <f>[2]Imobilizado!E6/1000</f>
        <v>2457.2747684374995</v>
      </c>
      <c r="F3" s="112">
        <f>[2]Imobilizado!F6/1000</f>
        <v>2518.7066376484368</v>
      </c>
      <c r="G3" s="112">
        <f>[2]Imobilizado!G6/1000</f>
        <v>2581.674303589647</v>
      </c>
      <c r="H3" s="112">
        <f>[2]Imobilizado!H6/1000</f>
        <v>2646.2161611793881</v>
      </c>
      <c r="I3" s="112">
        <f>[2]Imobilizado!I6/1000</f>
        <v>3033.728055822497</v>
      </c>
      <c r="J3" s="112">
        <f>[2]Imobilizado!J6/1000</f>
        <v>3109.5712572180596</v>
      </c>
      <c r="K3" s="112">
        <f>[2]Imobilizado!K6/1000</f>
        <v>3187.3105386485108</v>
      </c>
      <c r="L3" s="112">
        <f>[2]Imobilizado!L6/1000</f>
        <v>3266.9933021147231</v>
      </c>
      <c r="M3" s="115">
        <f>[2]Imobilizado!M6/1000</f>
        <v>3348.6681346675914</v>
      </c>
    </row>
    <row r="4" spans="2:13" x14ac:dyDescent="0.2">
      <c r="B4" s="20" t="str">
        <f>[2]Imobilizado!B7</f>
        <v>(-) Depreciação</v>
      </c>
      <c r="C4" s="111">
        <f>[2]Imobilizado!C7/1000</f>
        <v>-642.71616000000006</v>
      </c>
      <c r="D4" s="111">
        <f>[2]Imobilizado!D8/1000</f>
        <v>-779.36461053749997</v>
      </c>
      <c r="E4" s="111">
        <f>[2]Imobilizado!E8/1000</f>
        <v>-919.4292723384375</v>
      </c>
      <c r="F4" s="111">
        <f>[2]Imobilizado!F8/1000</f>
        <v>-1062.9955506843985</v>
      </c>
      <c r="G4" s="111">
        <f>[2]Imobilizado!G8/1000</f>
        <v>-1210.1509859890084</v>
      </c>
      <c r="H4" s="111">
        <f>[2]Imobilizado!H8/1000</f>
        <v>-1360.9853071762334</v>
      </c>
      <c r="I4" s="111">
        <f>[2]Imobilizado!I8/1000</f>
        <v>-1533.9078063581157</v>
      </c>
      <c r="J4" s="111">
        <f>[2]Imobilizado!J8/1000</f>
        <v>-1711.1533680195453</v>
      </c>
      <c r="K4" s="111">
        <f>[2]Imobilizado!K8/1000</f>
        <v>-1892.8300687225103</v>
      </c>
      <c r="L4" s="111">
        <f>[2]Imobilizado!L8/1000</f>
        <v>-2079.0486869430497</v>
      </c>
      <c r="M4" s="114">
        <f>[2]Imobilizado!M8/1000</f>
        <v>-2269.9227706191023</v>
      </c>
    </row>
    <row r="5" spans="2:13" ht="15.75" x14ac:dyDescent="0.25">
      <c r="B5" s="34" t="str">
        <f>[2]Imobilizado!B9</f>
        <v>Variação do Imobilizado</v>
      </c>
      <c r="C5" s="117">
        <f>[2]Imobilizado!C9/1000</f>
        <v>0</v>
      </c>
      <c r="D5" s="117">
        <f>[2]Imobilizado!D9/1000</f>
        <v>58.471737499999811</v>
      </c>
      <c r="E5" s="117">
        <f>[2]Imobilizado!E9/1000</f>
        <v>59.933530937499832</v>
      </c>
      <c r="F5" s="117">
        <f>[2]Imobilizado!F9/1000</f>
        <v>61.431869210937059</v>
      </c>
      <c r="G5" s="117">
        <f>[2]Imobilizado!G9/1000</f>
        <v>62.967665941210463</v>
      </c>
      <c r="H5" s="117">
        <f>[2]Imobilizado!H9/1000</f>
        <v>64.541857589740772</v>
      </c>
      <c r="I5" s="117">
        <f>[2]Imobilizado!I9/1000</f>
        <v>387.51189464310931</v>
      </c>
      <c r="J5" s="117">
        <f>[2]Imobilizado!J9/1000</f>
        <v>75.843201395562389</v>
      </c>
      <c r="K5" s="117">
        <f>[2]Imobilizado!K9/1000</f>
        <v>77.7392814304512</v>
      </c>
      <c r="L5" s="117">
        <f>[2]Imobilizado!L9/1000</f>
        <v>79.682763466212435</v>
      </c>
      <c r="M5" s="118">
        <f>[2]Imobilizado!M9/1000</f>
        <v>81.67483255286794</v>
      </c>
    </row>
  </sheetData>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1"/>
  <sheetViews>
    <sheetView workbookViewId="0">
      <selection activeCell="J20" sqref="J20"/>
    </sheetView>
  </sheetViews>
  <sheetFormatPr defaultRowHeight="15" x14ac:dyDescent="0.25"/>
  <cols>
    <col min="1" max="1" width="9.140625" style="1"/>
    <col min="2" max="2" width="23.140625" style="1" bestFit="1" customWidth="1"/>
    <col min="3" max="5" width="8.42578125" style="1" bestFit="1" customWidth="1"/>
    <col min="6" max="12" width="9.7109375" style="1" bestFit="1" customWidth="1"/>
    <col min="13" max="16384" width="9.140625" style="1"/>
  </cols>
  <sheetData>
    <row r="2" spans="2:12" s="88" customFormat="1" ht="15.75" x14ac:dyDescent="0.25">
      <c r="B2" s="103" t="s">
        <v>101</v>
      </c>
      <c r="C2" s="104" t="s">
        <v>60</v>
      </c>
      <c r="D2" s="104" t="s">
        <v>61</v>
      </c>
      <c r="E2" s="104" t="s">
        <v>62</v>
      </c>
      <c r="F2" s="104" t="s">
        <v>63</v>
      </c>
      <c r="G2" s="104" t="s">
        <v>64</v>
      </c>
      <c r="H2" s="104" t="s">
        <v>65</v>
      </c>
      <c r="I2" s="104" t="s">
        <v>66</v>
      </c>
      <c r="J2" s="104" t="s">
        <v>67</v>
      </c>
      <c r="K2" s="104" t="s">
        <v>68</v>
      </c>
      <c r="L2" s="105" t="s">
        <v>69</v>
      </c>
    </row>
    <row r="3" spans="2:12" s="88" customFormat="1" ht="15.75" x14ac:dyDescent="0.25">
      <c r="B3" s="31" t="s">
        <v>36</v>
      </c>
      <c r="C3" s="112">
        <v>2278.5350432999999</v>
      </c>
      <c r="D3" s="112">
        <v>5035.5624456929991</v>
      </c>
      <c r="E3" s="112">
        <v>9108.3253517694975</v>
      </c>
      <c r="F3" s="112">
        <v>13954.865271446046</v>
      </c>
      <c r="G3" s="112">
        <v>17846.877195652349</v>
      </c>
      <c r="H3" s="112">
        <v>20630.990038174114</v>
      </c>
      <c r="I3" s="112">
        <v>22611.565081838831</v>
      </c>
      <c r="J3" s="112">
        <v>24004.437490880104</v>
      </c>
      <c r="K3" s="112">
        <v>24508.530678188585</v>
      </c>
      <c r="L3" s="115">
        <v>25023.209822430545</v>
      </c>
    </row>
    <row r="4" spans="2:12" ht="15.75" x14ac:dyDescent="0.25">
      <c r="B4" s="20" t="s">
        <v>102</v>
      </c>
      <c r="C4" s="111">
        <v>1566.4505062969997</v>
      </c>
      <c r="D4" s="111">
        <v>3461.8556189163696</v>
      </c>
      <c r="E4" s="111">
        <v>6261.8044434959293</v>
      </c>
      <c r="F4" s="111">
        <v>9593.7105878801121</v>
      </c>
      <c r="G4" s="111">
        <v>12269.396470839874</v>
      </c>
      <c r="H4" s="111">
        <v>14183.422320290894</v>
      </c>
      <c r="I4" s="111">
        <v>15545.030863038821</v>
      </c>
      <c r="J4" s="111">
        <v>16502.604764202013</v>
      </c>
      <c r="K4" s="111">
        <v>16849.159464250257</v>
      </c>
      <c r="L4" s="114">
        <v>17202.991812999509</v>
      </c>
    </row>
    <row r="5" spans="2:12" ht="15.75" x14ac:dyDescent="0.25">
      <c r="B5" s="20" t="s">
        <v>46</v>
      </c>
      <c r="C5" s="111">
        <v>712.08453700300004</v>
      </c>
      <c r="D5" s="111">
        <v>1573.7068267766301</v>
      </c>
      <c r="E5" s="111">
        <v>2846.5209082735682</v>
      </c>
      <c r="F5" s="111">
        <v>4361.1546835659337</v>
      </c>
      <c r="G5" s="111">
        <v>5577.4807248124735</v>
      </c>
      <c r="H5" s="111">
        <v>6447.5677178832193</v>
      </c>
      <c r="I5" s="111">
        <v>7066.5342188000086</v>
      </c>
      <c r="J5" s="111">
        <v>7501.8327266780889</v>
      </c>
      <c r="K5" s="111">
        <v>7659.3712139383297</v>
      </c>
      <c r="L5" s="114">
        <v>7820.2180094310343</v>
      </c>
    </row>
    <row r="6" spans="2:12" s="88" customFormat="1" ht="15.75" x14ac:dyDescent="0.25">
      <c r="B6" s="31" t="s">
        <v>4</v>
      </c>
      <c r="C6" s="112">
        <v>1242.7965369054346</v>
      </c>
      <c r="D6" s="112">
        <v>1906.7324099737664</v>
      </c>
      <c r="E6" s="112">
        <v>2778.5397749815397</v>
      </c>
      <c r="F6" s="112">
        <v>3770.1609079330751</v>
      </c>
      <c r="G6" s="112">
        <v>4598.9165742874602</v>
      </c>
      <c r="H6" s="112">
        <v>5255.5651216659044</v>
      </c>
      <c r="I6" s="112">
        <v>5797.6575850691606</v>
      </c>
      <c r="J6" s="112">
        <v>6264.1675433045648</v>
      </c>
      <c r="K6" s="112">
        <v>6605.3304637459896</v>
      </c>
      <c r="L6" s="115">
        <v>6975.2767229707279</v>
      </c>
    </row>
    <row r="7" spans="2:12" ht="15.75" x14ac:dyDescent="0.25">
      <c r="B7" s="20" t="s">
        <v>5</v>
      </c>
      <c r="C7" s="111">
        <v>283.65244132599997</v>
      </c>
      <c r="D7" s="111">
        <v>626.87189533045989</v>
      </c>
      <c r="E7" s="111">
        <v>1133.8858842737359</v>
      </c>
      <c r="F7" s="111">
        <v>1737.2265632957906</v>
      </c>
      <c r="G7" s="111">
        <v>2221.7390517989866</v>
      </c>
      <c r="H7" s="111">
        <v>2568.3303438796288</v>
      </c>
      <c r="I7" s="111">
        <v>2814.8900568920731</v>
      </c>
      <c r="J7" s="111">
        <v>2988.2872843966252</v>
      </c>
      <c r="K7" s="111">
        <v>3051.0413173689544</v>
      </c>
      <c r="L7" s="114">
        <v>3115.1131850337024</v>
      </c>
    </row>
    <row r="8" spans="2:12" ht="15.75" x14ac:dyDescent="0.25">
      <c r="B8" s="20" t="s">
        <v>132</v>
      </c>
      <c r="C8" s="111">
        <v>890.5013069584345</v>
      </c>
      <c r="D8" s="111">
        <v>1128.1599517908965</v>
      </c>
      <c r="E8" s="111">
        <v>1370.2579126203646</v>
      </c>
      <c r="F8" s="111">
        <v>1612.5322666095185</v>
      </c>
      <c r="G8" s="111">
        <v>1839.5253048987645</v>
      </c>
      <c r="H8" s="111">
        <v>2065.7088142525713</v>
      </c>
      <c r="I8" s="111">
        <v>2301.5750721441482</v>
      </c>
      <c r="J8" s="111">
        <v>2552.7263475833702</v>
      </c>
      <c r="K8" s="111">
        <v>2815.9490029146514</v>
      </c>
      <c r="L8" s="114">
        <v>3106.3182514619307</v>
      </c>
    </row>
    <row r="9" spans="2:12" ht="15.75" x14ac:dyDescent="0.25">
      <c r="B9" s="20" t="s">
        <v>133</v>
      </c>
      <c r="C9" s="111">
        <v>68.64278862099998</v>
      </c>
      <c r="D9" s="111">
        <v>151.70056285240997</v>
      </c>
      <c r="E9" s="111">
        <v>274.39597808743912</v>
      </c>
      <c r="F9" s="111">
        <v>420.40207802776553</v>
      </c>
      <c r="G9" s="111">
        <v>537.65221758970938</v>
      </c>
      <c r="H9" s="111">
        <v>621.52596353370393</v>
      </c>
      <c r="I9" s="111">
        <v>681.1924560329395</v>
      </c>
      <c r="J9" s="111">
        <v>723.15391132456853</v>
      </c>
      <c r="K9" s="111">
        <v>738.3401434623845</v>
      </c>
      <c r="L9" s="114">
        <v>753.84528647509455</v>
      </c>
    </row>
    <row r="10" spans="2:12" s="88" customFormat="1" ht="15.75" x14ac:dyDescent="0.25">
      <c r="B10" s="31" t="s">
        <v>134</v>
      </c>
      <c r="C10" s="112">
        <v>-1035.7385063945655</v>
      </c>
      <c r="D10" s="112">
        <v>-3128.8300357192325</v>
      </c>
      <c r="E10" s="112">
        <v>-6329.7855767879582</v>
      </c>
      <c r="F10" s="112">
        <v>-10184.70436351297</v>
      </c>
      <c r="G10" s="112">
        <v>-13247.960621364888</v>
      </c>
      <c r="H10" s="112">
        <v>-15375.424916508211</v>
      </c>
      <c r="I10" s="112">
        <v>-16813.907496769669</v>
      </c>
      <c r="J10" s="112">
        <v>-17740.26994757554</v>
      </c>
      <c r="K10" s="112">
        <v>-17903.200214442597</v>
      </c>
      <c r="L10" s="115">
        <v>-18047.933099459817</v>
      </c>
    </row>
    <row r="11" spans="2:12" s="88" customFormat="1" ht="15.75" x14ac:dyDescent="0.25">
      <c r="B11" s="34" t="s">
        <v>135</v>
      </c>
      <c r="C11" s="117">
        <v>-372.86537639456554</v>
      </c>
      <c r="D11" s="117">
        <v>-2093.0915293246671</v>
      </c>
      <c r="E11" s="117">
        <v>-3200.9555410687253</v>
      </c>
      <c r="F11" s="117">
        <v>-3854.9187867250125</v>
      </c>
      <c r="G11" s="117">
        <v>-3063.2562578519173</v>
      </c>
      <c r="H11" s="117">
        <v>-2127.4642951433229</v>
      </c>
      <c r="I11" s="117">
        <v>-1438.4825802614596</v>
      </c>
      <c r="J11" s="117">
        <v>-926.362450805869</v>
      </c>
      <c r="K11" s="117">
        <v>-162.9302668670565</v>
      </c>
      <c r="L11" s="118">
        <v>-144.73288501721993</v>
      </c>
    </row>
  </sheetData>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9"/>
  <sheetViews>
    <sheetView workbookViewId="0">
      <selection activeCell="G14" sqref="G14"/>
    </sheetView>
  </sheetViews>
  <sheetFormatPr defaultRowHeight="15" x14ac:dyDescent="0.25"/>
  <cols>
    <col min="1" max="1" width="9.140625" style="1"/>
    <col min="2" max="2" width="20.5703125" style="1" bestFit="1" customWidth="1"/>
    <col min="3" max="3" width="7.5703125" style="1" bestFit="1" customWidth="1"/>
    <col min="4" max="5" width="8.42578125" style="1" bestFit="1" customWidth="1"/>
    <col min="6" max="12" width="9.7109375" style="1" bestFit="1" customWidth="1"/>
    <col min="13" max="16384" width="9.140625" style="1"/>
  </cols>
  <sheetData>
    <row r="2" spans="2:12" ht="15.75" x14ac:dyDescent="0.25">
      <c r="B2" s="28" t="str">
        <f>'[2]Fluxo de Caixa '!B4</f>
        <v>Conta</v>
      </c>
      <c r="C2" s="29" t="str">
        <f>'[2]Fluxo de Caixa '!C4</f>
        <v>Ano 1</v>
      </c>
      <c r="D2" s="29" t="str">
        <f>'[2]Fluxo de Caixa '!D4</f>
        <v>Ano 2</v>
      </c>
      <c r="E2" s="29" t="str">
        <f>'[2]Fluxo de Caixa '!E4</f>
        <v>Ano 3</v>
      </c>
      <c r="F2" s="29" t="str">
        <f>'[2]Fluxo de Caixa '!F4</f>
        <v>Ano 4</v>
      </c>
      <c r="G2" s="29" t="str">
        <f>'[2]Fluxo de Caixa '!G4</f>
        <v>Ano 5</v>
      </c>
      <c r="H2" s="29" t="str">
        <f>'[2]Fluxo de Caixa '!H4</f>
        <v>Ano 6</v>
      </c>
      <c r="I2" s="29" t="str">
        <f>'[2]Fluxo de Caixa '!I4</f>
        <v>Ano 7</v>
      </c>
      <c r="J2" s="29" t="str">
        <f>'[2]Fluxo de Caixa '!J4</f>
        <v>Ano 8</v>
      </c>
      <c r="K2" s="29" t="str">
        <f>'[2]Fluxo de Caixa '!K4</f>
        <v>Ano 9</v>
      </c>
      <c r="L2" s="30" t="str">
        <f>'[2]Fluxo de Caixa '!L4</f>
        <v>Ano 10</v>
      </c>
    </row>
    <row r="3" spans="2:12" ht="15.75" x14ac:dyDescent="0.25">
      <c r="B3" s="34"/>
      <c r="C3" s="35"/>
      <c r="D3" s="35"/>
      <c r="E3" s="35"/>
      <c r="F3" s="35"/>
      <c r="G3" s="35"/>
      <c r="H3" s="35"/>
      <c r="I3" s="35"/>
      <c r="J3" s="35"/>
      <c r="K3" s="35"/>
      <c r="L3" s="36"/>
    </row>
    <row r="4" spans="2:12" ht="15.75" x14ac:dyDescent="0.25">
      <c r="B4" s="31" t="s">
        <v>136</v>
      </c>
      <c r="C4" s="112">
        <f>'[2]Fluxo de Caixa '!C10/1000</f>
        <v>433.12647526533948</v>
      </c>
      <c r="D4" s="112">
        <f>'[2]Fluxo de Caixa '!D10/1000</f>
        <v>2628.5858458829962</v>
      </c>
      <c r="E4" s="112">
        <f>'[2]Fluxo de Caixa '!E10/1000</f>
        <v>6007.9486181405246</v>
      </c>
      <c r="F4" s="112">
        <f>'[2]Fluxo de Caixa '!F10/1000</f>
        <v>10088.39405517114</v>
      </c>
      <c r="G4" s="112">
        <f>'[2]Fluxo de Caixa '!G10/1000</f>
        <v>13334.650230390198</v>
      </c>
      <c r="H4" s="112">
        <f>'[2]Fluxo de Caixa '!H10/1000</f>
        <v>15546.577447647642</v>
      </c>
      <c r="I4" s="112">
        <f>'[2]Fluxo de Caixa '!I10/1000</f>
        <v>17072.329265830675</v>
      </c>
      <c r="J4" s="112">
        <f>'[2]Fluxo de Caixa '!J10/1000</f>
        <v>18056.023709992896</v>
      </c>
      <c r="K4" s="112">
        <f>'[2]Fluxo de Caixa '!K10/1000</f>
        <v>18230.787283294772</v>
      </c>
      <c r="L4" s="115">
        <f>'[2]Fluxo de Caixa '!L10/1000</f>
        <v>18387.561822496602</v>
      </c>
    </row>
    <row r="5" spans="2:12" ht="15.75" x14ac:dyDescent="0.25">
      <c r="B5" s="20" t="str">
        <f>'[2]Fluxo de Caixa '!B11</f>
        <v>(+) Depreciação</v>
      </c>
      <c r="C5" s="111">
        <f>'[2]Fluxo de Caixa '!C11/1000</f>
        <v>136.6484505375</v>
      </c>
      <c r="D5" s="111">
        <f>'[2]Fluxo de Caixa '!D11/1000</f>
        <v>140.0646618009375</v>
      </c>
      <c r="E5" s="111">
        <f>'[2]Fluxo de Caixa '!E11/1000</f>
        <v>143.56627834596088</v>
      </c>
      <c r="F5" s="111">
        <f>'[2]Fluxo de Caixa '!F11/1000</f>
        <v>147.15543530460988</v>
      </c>
      <c r="G5" s="111">
        <f>'[2]Fluxo de Caixa '!G11/1000</f>
        <v>150.8343211872251</v>
      </c>
      <c r="H5" s="111">
        <f>'[2]Fluxo de Caixa '!H11/1000</f>
        <v>172.92249918188236</v>
      </c>
      <c r="I5" s="111">
        <f>'[2]Fluxo de Caixa '!I11/1000</f>
        <v>177.24556166142943</v>
      </c>
      <c r="J5" s="111">
        <f>'[2]Fluxo de Caixa '!J11/1000</f>
        <v>181.67670070296515</v>
      </c>
      <c r="K5" s="111">
        <f>'[2]Fluxo de Caixa '!K11/1000</f>
        <v>186.21861822053924</v>
      </c>
      <c r="L5" s="114">
        <f>'[2]Fluxo de Caixa '!L11/1000</f>
        <v>190.87408367605269</v>
      </c>
    </row>
    <row r="6" spans="2:12" ht="15.75" x14ac:dyDescent="0.25">
      <c r="B6" s="20" t="str">
        <f>'[2]Fluxo de Caixa '!B12</f>
        <v>(-) Imobilizações</v>
      </c>
      <c r="C6" s="111">
        <f>'[2]Fluxo de Caixa '!C12/1000</f>
        <v>58.471737499999811</v>
      </c>
      <c r="D6" s="111">
        <f>'[2]Fluxo de Caixa '!D12/1000</f>
        <v>59.933530937499832</v>
      </c>
      <c r="E6" s="111">
        <f>'[2]Fluxo de Caixa '!E12/1000</f>
        <v>61.431869210937059</v>
      </c>
      <c r="F6" s="111">
        <f>'[2]Fluxo de Caixa '!F12/1000</f>
        <v>62.967665941210463</v>
      </c>
      <c r="G6" s="111">
        <f>'[2]Fluxo de Caixa '!G12/1000</f>
        <v>64.541857589740772</v>
      </c>
      <c r="H6" s="111">
        <f>'[2]Fluxo de Caixa '!H12/1000</f>
        <v>387.51189464310931</v>
      </c>
      <c r="I6" s="111">
        <f>'[2]Fluxo de Caixa '!I12/1000</f>
        <v>75.843201395562389</v>
      </c>
      <c r="J6" s="111">
        <f>'[2]Fluxo de Caixa '!J12/1000</f>
        <v>77.7392814304512</v>
      </c>
      <c r="K6" s="111">
        <f>'[2]Fluxo de Caixa '!K12/1000</f>
        <v>79.682763466212435</v>
      </c>
      <c r="L6" s="114">
        <f>'[2]Fluxo de Caixa '!L12/1000</f>
        <v>81.67483255286794</v>
      </c>
    </row>
    <row r="7" spans="2:12" ht="15.75" x14ac:dyDescent="0.25">
      <c r="B7" s="20" t="s">
        <v>137</v>
      </c>
      <c r="C7" s="111">
        <f>'[2]Fluxo de Caixa '!C13/1000</f>
        <v>-372.86537639456554</v>
      </c>
      <c r="D7" s="111">
        <f>'[2]Fluxo de Caixa '!D13/1000</f>
        <v>-2093.0915293246671</v>
      </c>
      <c r="E7" s="111">
        <f>'[2]Fluxo de Caixa '!E13/1000</f>
        <v>-3200.9555410687253</v>
      </c>
      <c r="F7" s="111">
        <f>'[2]Fluxo de Caixa '!F13/1000</f>
        <v>-3854.9187867250125</v>
      </c>
      <c r="G7" s="111">
        <f>'[2]Fluxo de Caixa '!G13/1000</f>
        <v>-3063.2562578519173</v>
      </c>
      <c r="H7" s="111">
        <f>'[2]Fluxo de Caixa '!H13/1000</f>
        <v>-2127.4642951433229</v>
      </c>
      <c r="I7" s="111">
        <f>'[2]Fluxo de Caixa '!I13/1000</f>
        <v>-1438.4825802614596</v>
      </c>
      <c r="J7" s="111">
        <f>'[2]Fluxo de Caixa '!J13/1000</f>
        <v>-926.362450805869</v>
      </c>
      <c r="K7" s="111">
        <f>'[2]Fluxo de Caixa '!K13/1000</f>
        <v>-162.9302668670565</v>
      </c>
      <c r="L7" s="114">
        <f>'[2]Fluxo de Caixa '!L13/1000</f>
        <v>-144.73288501721993</v>
      </c>
    </row>
    <row r="8" spans="2:12" x14ac:dyDescent="0.25">
      <c r="B8" s="188" t="s">
        <v>138</v>
      </c>
      <c r="C8" s="184">
        <f>'[2]Fluxo de Caixa '!C14/1000</f>
        <v>138.43781190827409</v>
      </c>
      <c r="D8" s="184">
        <f>'[2]Fluxo de Caixa '!D14/1000</f>
        <v>615.62544742176681</v>
      </c>
      <c r="E8" s="184">
        <f>'[2]Fluxo de Caixa '!E14/1000</f>
        <v>2889.1274862068231</v>
      </c>
      <c r="F8" s="184">
        <f>'[2]Fluxo de Caixa '!F14/1000</f>
        <v>6317.6630378095269</v>
      </c>
      <c r="G8" s="184">
        <f>'[2]Fluxo de Caixa '!G14/1000</f>
        <v>10357.686436135766</v>
      </c>
      <c r="H8" s="184">
        <f>'[2]Fluxo de Caixa '!H14/1000</f>
        <v>13204.523757043091</v>
      </c>
      <c r="I8" s="184">
        <f>'[2]Fluxo de Caixa '!I14/1000</f>
        <v>15735.24904583508</v>
      </c>
      <c r="J8" s="184">
        <f>'[2]Fluxo de Caixa '!J14/1000</f>
        <v>17233.598678459544</v>
      </c>
      <c r="K8" s="184">
        <f>'[2]Fluxo de Caixa '!K14/1000</f>
        <v>18174.392871182041</v>
      </c>
      <c r="L8" s="186">
        <f>'[2]Fluxo de Caixa '!L14/1000</f>
        <v>18352.028188602562</v>
      </c>
    </row>
    <row r="9" spans="2:12" x14ac:dyDescent="0.25">
      <c r="B9" s="189"/>
      <c r="C9" s="190"/>
      <c r="D9" s="185"/>
      <c r="E9" s="185"/>
      <c r="F9" s="185"/>
      <c r="G9" s="185"/>
      <c r="H9" s="185"/>
      <c r="I9" s="185"/>
      <c r="J9" s="185"/>
      <c r="K9" s="185"/>
      <c r="L9" s="187"/>
    </row>
  </sheetData>
  <mergeCells count="11">
    <mergeCell ref="G8:G9"/>
    <mergeCell ref="B8:B9"/>
    <mergeCell ref="C8:C9"/>
    <mergeCell ref="D8:D9"/>
    <mergeCell ref="E8:E9"/>
    <mergeCell ref="F8:F9"/>
    <mergeCell ref="H8:H9"/>
    <mergeCell ref="I8:I9"/>
    <mergeCell ref="J8:J9"/>
    <mergeCell ref="K8:K9"/>
    <mergeCell ref="L8:L9"/>
  </mergeCells>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6"/>
  <sheetViews>
    <sheetView workbookViewId="0">
      <selection activeCell="C17" sqref="C17"/>
    </sheetView>
  </sheetViews>
  <sheetFormatPr defaultRowHeight="15" x14ac:dyDescent="0.25"/>
  <cols>
    <col min="1" max="1" width="9.140625" style="1"/>
    <col min="2" max="2" width="33.28515625" style="1" bestFit="1" customWidth="1"/>
    <col min="3" max="3" width="17.28515625" style="1" bestFit="1" customWidth="1"/>
    <col min="4" max="4" width="18.85546875" style="1" bestFit="1" customWidth="1"/>
    <col min="5" max="5" width="13.7109375" style="1" bestFit="1" customWidth="1"/>
    <col min="6" max="6" width="12.42578125" style="1" bestFit="1" customWidth="1"/>
    <col min="7" max="16384" width="9.140625" style="1"/>
  </cols>
  <sheetData>
    <row r="2" spans="2:6" ht="15.75" x14ac:dyDescent="0.25">
      <c r="B2" s="128" t="str">
        <f>[3]Terceiros!B2</f>
        <v>Modalidade</v>
      </c>
      <c r="C2" s="79" t="s">
        <v>139</v>
      </c>
      <c r="D2" s="79" t="str">
        <f>[3]Terceiros!D2</f>
        <v>Proporção (%)</v>
      </c>
      <c r="E2" s="79" t="str">
        <f>[3]Terceiros!E2</f>
        <v>Taxas (%)</v>
      </c>
      <c r="F2" s="80" t="str">
        <f>[3]Terceiros!F2</f>
        <v>P x T (%)</v>
      </c>
    </row>
    <row r="3" spans="2:6" ht="15.75" x14ac:dyDescent="0.25">
      <c r="B3" s="129" t="s">
        <v>140</v>
      </c>
      <c r="C3" s="130">
        <f>[3]Terceiros!C3/1000</f>
        <v>108.86492999999999</v>
      </c>
      <c r="D3" s="130">
        <f>[3]Terceiros!D3</f>
        <v>95.815197172250706</v>
      </c>
      <c r="E3" s="130">
        <f>[3]Terceiros!E3</f>
        <v>9.99</v>
      </c>
      <c r="F3" s="131">
        <f>[3]Terceiros!F3</f>
        <v>9.5719381975078459</v>
      </c>
    </row>
    <row r="4" spans="2:6" ht="15.75" x14ac:dyDescent="0.25">
      <c r="B4" s="129" t="s">
        <v>141</v>
      </c>
      <c r="C4" s="130">
        <f>[3]Terceiros!C4/1000</f>
        <v>4.7547600000000001</v>
      </c>
      <c r="D4" s="130">
        <f>[3]Terceiros!D4</f>
        <v>4.1848028277493103</v>
      </c>
      <c r="E4" s="130">
        <f>[3]Terceiros!E4</f>
        <v>16.033869371614699</v>
      </c>
      <c r="F4" s="131">
        <f>[3]Terceiros!F4</f>
        <v>0.67098581886096242</v>
      </c>
    </row>
    <row r="5" spans="2:6" ht="15.75" x14ac:dyDescent="0.25">
      <c r="B5" s="129" t="s">
        <v>142</v>
      </c>
      <c r="C5" s="132">
        <f>C3+C4</f>
        <v>113.61968999999999</v>
      </c>
      <c r="D5" s="132">
        <f>D3+D4</f>
        <v>100.00000000000001</v>
      </c>
      <c r="E5" s="130">
        <v>0</v>
      </c>
      <c r="F5" s="131">
        <f>[3]Terceiros!F5</f>
        <v>10.242924016368809</v>
      </c>
    </row>
    <row r="6" spans="2:6" ht="15.75" x14ac:dyDescent="0.25">
      <c r="B6" s="133" t="str">
        <f>[3]Terceiros!B9</f>
        <v>Custo do CT após IR e CS</v>
      </c>
      <c r="C6" s="134">
        <v>0</v>
      </c>
      <c r="D6" s="134">
        <v>0</v>
      </c>
      <c r="E6" s="134"/>
      <c r="F6" s="135">
        <f>[3]Terceiros!F9</f>
        <v>10.242924016368809</v>
      </c>
    </row>
  </sheetData>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B18" sqref="B18"/>
    </sheetView>
  </sheetViews>
  <sheetFormatPr defaultRowHeight="15" x14ac:dyDescent="0.2"/>
  <cols>
    <col min="1" max="1" width="9.140625" style="18"/>
    <col min="2" max="2" width="60.140625" style="18" bestFit="1" customWidth="1"/>
    <col min="3" max="3" width="21.28515625" style="18" bestFit="1" customWidth="1"/>
    <col min="4" max="16384" width="9.140625" style="18"/>
  </cols>
  <sheetData>
    <row r="2" spans="2:3" ht="15.75" x14ac:dyDescent="0.25">
      <c r="B2" s="136" t="s">
        <v>143</v>
      </c>
      <c r="C2" s="137" t="s">
        <v>144</v>
      </c>
    </row>
    <row r="3" spans="2:3" x14ac:dyDescent="0.2">
      <c r="B3" s="138"/>
      <c r="C3" s="27"/>
    </row>
    <row r="4" spans="2:3" ht="15.75" x14ac:dyDescent="0.25">
      <c r="B4" s="139" t="s">
        <v>145</v>
      </c>
      <c r="C4" s="41"/>
    </row>
    <row r="5" spans="2:3" x14ac:dyDescent="0.2">
      <c r="B5" s="140" t="s">
        <v>146</v>
      </c>
      <c r="C5" s="141">
        <v>1.0093760000000001</v>
      </c>
    </row>
    <row r="6" spans="2:3" x14ac:dyDescent="0.2">
      <c r="B6" s="142" t="s">
        <v>147</v>
      </c>
      <c r="C6" s="141">
        <v>0.48539402199999998</v>
      </c>
    </row>
    <row r="7" spans="2:3" x14ac:dyDescent="0.2">
      <c r="B7" s="142" t="s">
        <v>148</v>
      </c>
      <c r="C7" s="141">
        <v>0.74399999999999999</v>
      </c>
    </row>
    <row r="8" spans="2:3" ht="15.75" x14ac:dyDescent="0.25">
      <c r="B8" s="143" t="s">
        <v>149</v>
      </c>
      <c r="C8" s="144"/>
    </row>
    <row r="9" spans="2:3" x14ac:dyDescent="0.2">
      <c r="B9" s="142" t="str">
        <f>B6</f>
        <v xml:space="preserve">   Relação Dívida Onerosa/Patrimônio Líquido</v>
      </c>
      <c r="C9" s="141">
        <v>2.12E-2</v>
      </c>
    </row>
    <row r="10" spans="2:3" x14ac:dyDescent="0.2">
      <c r="B10" s="142" t="s">
        <v>150</v>
      </c>
      <c r="C10" s="141">
        <v>0.75980000000000003</v>
      </c>
    </row>
    <row r="11" spans="2:3" ht="15.75" x14ac:dyDescent="0.25">
      <c r="B11" s="143" t="s">
        <v>151</v>
      </c>
      <c r="C11" s="144"/>
    </row>
    <row r="12" spans="2:3" ht="18" x14ac:dyDescent="0.2">
      <c r="B12" s="142" t="s">
        <v>152</v>
      </c>
      <c r="C12" s="25">
        <f>[3]Próprios!C5</f>
        <v>3.86</v>
      </c>
    </row>
    <row r="13" spans="2:3" ht="18" x14ac:dyDescent="0.2">
      <c r="B13" s="142" t="s">
        <v>153</v>
      </c>
      <c r="C13" s="145">
        <f>[3]Próprios!C6</f>
        <v>18.600000000000001</v>
      </c>
    </row>
    <row r="14" spans="2:3" x14ac:dyDescent="0.2">
      <c r="B14" s="142" t="s">
        <v>154</v>
      </c>
      <c r="C14" s="145">
        <f>[3]Próprios!C8</f>
        <v>1.89</v>
      </c>
    </row>
    <row r="15" spans="2:3" ht="15.75" x14ac:dyDescent="0.25">
      <c r="B15" s="143" t="s">
        <v>155</v>
      </c>
      <c r="C15" s="146">
        <f>((((C13-C12)+C14)*C10)+C12)</f>
        <v>16.495474000000002</v>
      </c>
    </row>
  </sheetData>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
  <sheetViews>
    <sheetView workbookViewId="0">
      <selection activeCell="B7" sqref="B7"/>
    </sheetView>
  </sheetViews>
  <sheetFormatPr defaultRowHeight="15" x14ac:dyDescent="0.25"/>
  <cols>
    <col min="1" max="1" width="9.140625" style="1"/>
    <col min="2" max="2" width="33.28515625" style="1" bestFit="1" customWidth="1"/>
    <col min="3" max="3" width="19.28515625" style="1" bestFit="1" customWidth="1"/>
    <col min="4" max="4" width="18.85546875" style="1" bestFit="1" customWidth="1"/>
    <col min="5" max="5" width="13.7109375" style="1" bestFit="1" customWidth="1"/>
    <col min="6" max="6" width="12.42578125" style="1" bestFit="1" customWidth="1"/>
    <col min="7" max="16384" width="9.140625" style="1"/>
  </cols>
  <sheetData>
    <row r="2" spans="2:6" ht="15.75" x14ac:dyDescent="0.25">
      <c r="B2" s="133" t="s">
        <v>156</v>
      </c>
      <c r="C2" s="79" t="s">
        <v>157</v>
      </c>
      <c r="D2" s="79" t="str">
        <f>[3]Terceiros!D2</f>
        <v>Proporção (%)</v>
      </c>
      <c r="E2" s="79" t="str">
        <f>[3]Terceiros!E2</f>
        <v>Taxas (%)</v>
      </c>
      <c r="F2" s="80" t="str">
        <f>[3]Terceiros!F2</f>
        <v>P x T (%)</v>
      </c>
    </row>
    <row r="3" spans="2:6" ht="15.75" x14ac:dyDescent="0.25">
      <c r="B3" s="129" t="s">
        <v>158</v>
      </c>
      <c r="C3" s="111">
        <f>[3]WACC!C3/1000</f>
        <v>113.61968999999999</v>
      </c>
      <c r="D3" s="24">
        <f>[3]WACC!D3</f>
        <v>3.1258174016237144</v>
      </c>
      <c r="E3" s="24">
        <f>[3]WACC!E3</f>
        <v>10.242924016368809</v>
      </c>
      <c r="F3" s="25">
        <f>[3]WACC!F3</f>
        <v>0.32017510133875093</v>
      </c>
    </row>
    <row r="4" spans="2:6" ht="15.75" x14ac:dyDescent="0.25">
      <c r="B4" s="129" t="s">
        <v>159</v>
      </c>
      <c r="C4" s="111">
        <f>[3]WACC!C4/1000</f>
        <v>3521.2596200000003</v>
      </c>
      <c r="D4" s="24">
        <f>[3]WACC!D4</f>
        <v>96.874182598376294</v>
      </c>
      <c r="E4" s="24">
        <f>[3]CMPC!C15</f>
        <v>16.495474000000002</v>
      </c>
      <c r="F4" s="25">
        <f>[3]WACC!F4</f>
        <v>15.899304720397136</v>
      </c>
    </row>
    <row r="5" spans="2:6" ht="15.75" x14ac:dyDescent="0.25">
      <c r="B5" s="133" t="s">
        <v>160</v>
      </c>
      <c r="C5" s="147">
        <f>[3]WACC!C5/1000</f>
        <v>3634.8793100000003</v>
      </c>
      <c r="D5" s="148">
        <f>[3]WACC!D5</f>
        <v>100</v>
      </c>
      <c r="E5" s="148">
        <f>[3]WACC!E5</f>
        <v>0</v>
      </c>
      <c r="F5" s="149">
        <f>[3]WACC!F5</f>
        <v>16.219479821735888</v>
      </c>
    </row>
  </sheetData>
  <pageMargins left="0.511811024" right="0.511811024" top="0.78740157499999996" bottom="0.78740157499999996" header="0.31496062000000002" footer="0.3149606200000000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
  <sheetViews>
    <sheetView workbookViewId="0">
      <selection activeCell="E17" sqref="E17"/>
    </sheetView>
  </sheetViews>
  <sheetFormatPr defaultRowHeight="15" x14ac:dyDescent="0.25"/>
  <cols>
    <col min="1" max="1" width="9.140625" style="1"/>
    <col min="2" max="2" width="45.7109375" style="1" bestFit="1" customWidth="1"/>
    <col min="3" max="12" width="9.7109375" style="1" bestFit="1" customWidth="1"/>
    <col min="13" max="16384" width="9.140625" style="1"/>
  </cols>
  <sheetData>
    <row r="2" spans="2:12" ht="15.75" x14ac:dyDescent="0.25">
      <c r="B2" s="103" t="str">
        <f>[4]Valor!B13</f>
        <v>Item</v>
      </c>
      <c r="C2" s="104" t="str">
        <f>[4]Valor!C13</f>
        <v>Ano 1</v>
      </c>
      <c r="D2" s="104" t="str">
        <f>[4]Valor!D13</f>
        <v>Ano 2</v>
      </c>
      <c r="E2" s="104" t="str">
        <f>[4]Valor!E13</f>
        <v>Ano 3</v>
      </c>
      <c r="F2" s="104" t="str">
        <f>[4]Valor!F13</f>
        <v>Ano 4</v>
      </c>
      <c r="G2" s="104" t="str">
        <f>[4]Valor!G13</f>
        <v>Ano 5</v>
      </c>
      <c r="H2" s="104" t="str">
        <f>[4]Valor!H13</f>
        <v>Ano 6</v>
      </c>
      <c r="I2" s="104" t="str">
        <f>[4]Valor!I13</f>
        <v>Ano 7</v>
      </c>
      <c r="J2" s="104" t="str">
        <f>[4]Valor!J13</f>
        <v>Ano 8</v>
      </c>
      <c r="K2" s="104" t="str">
        <f>[4]Valor!K13</f>
        <v>Ano 9</v>
      </c>
      <c r="L2" s="105" t="str">
        <f>[4]Valor!L13</f>
        <v>Ano 10</v>
      </c>
    </row>
    <row r="3" spans="2:12" ht="15.75" x14ac:dyDescent="0.25">
      <c r="B3" s="20" t="str">
        <f>[4]Valor!B15</f>
        <v>(=) Fluxo de caixa livre</v>
      </c>
      <c r="C3" s="111">
        <f>[4]Valor!C15</f>
        <v>138.43781190827409</v>
      </c>
      <c r="D3" s="111">
        <f>[4]Valor!D15</f>
        <v>615.62544742176681</v>
      </c>
      <c r="E3" s="111">
        <f>[4]Valor!E15</f>
        <v>2889.1274862068231</v>
      </c>
      <c r="F3" s="111">
        <f>[4]Valor!F15</f>
        <v>6317.6630378095269</v>
      </c>
      <c r="G3" s="111">
        <f>[4]Valor!G15</f>
        <v>10357.686436135766</v>
      </c>
      <c r="H3" s="111">
        <f>[4]Valor!H15</f>
        <v>13204.523757043091</v>
      </c>
      <c r="I3" s="111">
        <f>[4]Valor!I15</f>
        <v>15735.24904583508</v>
      </c>
      <c r="J3" s="111">
        <f>[4]Valor!J15</f>
        <v>17233.598678459544</v>
      </c>
      <c r="K3" s="111">
        <f>[4]Valor!K15</f>
        <v>18174.392871182041</v>
      </c>
      <c r="L3" s="114">
        <f>[4]Valor!L15</f>
        <v>18352.028188602562</v>
      </c>
    </row>
    <row r="4" spans="2:12" ht="15.75" x14ac:dyDescent="0.25">
      <c r="B4" s="20" t="str">
        <f>[4]Valor!B16</f>
        <v>Fator de Atualização</v>
      </c>
      <c r="C4" s="87">
        <f>[4]Valor!C16</f>
        <v>1.1621947982173588</v>
      </c>
      <c r="D4" s="87">
        <f>[4]Valor!D16</f>
        <v>1.3506967490034874</v>
      </c>
      <c r="E4" s="87">
        <f>[4]Valor!E16</f>
        <v>1.5697727356609505</v>
      </c>
      <c r="F4" s="87">
        <f>[4]Valor!F16</f>
        <v>1.8243817077685898</v>
      </c>
      <c r="G4" s="87">
        <f>[4]Valor!G16</f>
        <v>2.1202869307315568</v>
      </c>
      <c r="H4" s="87">
        <f>[4]Valor!H16</f>
        <v>2.4641864416244643</v>
      </c>
      <c r="I4" s="87">
        <f>[4]Valor!I16</f>
        <v>2.863864664293696</v>
      </c>
      <c r="J4" s="87">
        <f>[4]Valor!J16</f>
        <v>3.328368615640636</v>
      </c>
      <c r="K4" s="87">
        <f>[4]Valor!K16</f>
        <v>3.8682126916474591</v>
      </c>
      <c r="L4" s="150">
        <f>[4]Valor!L16</f>
        <v>4.4956166686310448</v>
      </c>
    </row>
    <row r="5" spans="2:12" ht="18" customHeight="1" x14ac:dyDescent="0.25">
      <c r="B5" s="127" t="str">
        <f>[4]Valor!B17</f>
        <v>(=) Valor presente do fluxo de caixa livre</v>
      </c>
      <c r="C5" s="117">
        <f>[4]Valor!C17</f>
        <v>119.11756283939488</v>
      </c>
      <c r="D5" s="117">
        <f>[4]Valor!D17</f>
        <v>455.78361529037585</v>
      </c>
      <c r="E5" s="117">
        <f>[4]Valor!E17</f>
        <v>1840.4750067151344</v>
      </c>
      <c r="F5" s="117">
        <f>[4]Valor!F17</f>
        <v>3462.9063703651641</v>
      </c>
      <c r="G5" s="117">
        <f>[4]Valor!G17</f>
        <v>4885.0399849241539</v>
      </c>
      <c r="H5" s="117">
        <f>[4]Valor!H17</f>
        <v>5358.5733343854772</v>
      </c>
      <c r="I5" s="117">
        <f>[4]Valor!I17</f>
        <v>5494.4108365245693</v>
      </c>
      <c r="J5" s="117">
        <f>[4]Valor!J17</f>
        <v>5177.7914854369174</v>
      </c>
      <c r="K5" s="117">
        <f>[4]Valor!K17</f>
        <v>4698.3954399471313</v>
      </c>
      <c r="L5" s="118">
        <f>[4]Valor!L17</f>
        <v>4082.2048544879422</v>
      </c>
    </row>
  </sheetData>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election activeCell="G13" sqref="G13"/>
    </sheetView>
  </sheetViews>
  <sheetFormatPr defaultRowHeight="15" x14ac:dyDescent="0.25"/>
  <cols>
    <col min="1" max="1" width="9.140625" style="1"/>
    <col min="2" max="2" width="48" style="1" bestFit="1" customWidth="1"/>
    <col min="3" max="3" width="9.5703125" style="1" bestFit="1" customWidth="1"/>
    <col min="4" max="16384" width="9.140625" style="1"/>
  </cols>
  <sheetData>
    <row r="2" spans="2:3" ht="15.75" x14ac:dyDescent="0.25">
      <c r="B2" s="151" t="s">
        <v>156</v>
      </c>
      <c r="C2" s="152" t="s">
        <v>161</v>
      </c>
    </row>
    <row r="3" spans="2:3" x14ac:dyDescent="0.25">
      <c r="B3" s="55" t="s">
        <v>162</v>
      </c>
      <c r="C3" s="56">
        <v>16.22</v>
      </c>
    </row>
    <row r="4" spans="2:3" x14ac:dyDescent="0.25">
      <c r="B4" s="55" t="s">
        <v>163</v>
      </c>
      <c r="C4" s="153">
        <v>2.1</v>
      </c>
    </row>
    <row r="5" spans="2:3" x14ac:dyDescent="0.25">
      <c r="B5" s="154" t="s">
        <v>164</v>
      </c>
      <c r="C5" s="56">
        <v>14.12</v>
      </c>
    </row>
    <row r="6" spans="2:3" ht="15.75" x14ac:dyDescent="0.25">
      <c r="B6" s="51" t="s">
        <v>165</v>
      </c>
      <c r="C6" s="52">
        <v>18352</v>
      </c>
    </row>
    <row r="7" spans="2:3" ht="15.75" x14ac:dyDescent="0.25">
      <c r="B7" s="151" t="s">
        <v>166</v>
      </c>
      <c r="C7" s="155">
        <v>129977</v>
      </c>
    </row>
    <row r="8" spans="2:3" x14ac:dyDescent="0.25">
      <c r="B8" s="55" t="s">
        <v>167</v>
      </c>
      <c r="C8" s="56">
        <v>4.4955999999999996</v>
      </c>
    </row>
    <row r="9" spans="2:3" ht="15.75" x14ac:dyDescent="0.25">
      <c r="B9" s="151" t="s">
        <v>168</v>
      </c>
      <c r="C9" s="155">
        <v>28912</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0"/>
  <sheetViews>
    <sheetView workbookViewId="0">
      <selection activeCell="A11" sqref="A11"/>
    </sheetView>
  </sheetViews>
  <sheetFormatPr defaultRowHeight="15" x14ac:dyDescent="0.2"/>
  <cols>
    <col min="1" max="1" width="9.140625" style="18"/>
    <col min="2" max="2" width="49.5703125" style="18" bestFit="1" customWidth="1"/>
    <col min="3" max="3" width="16.140625" style="18" bestFit="1" customWidth="1"/>
    <col min="4" max="4" width="14.28515625" style="18" bestFit="1" customWidth="1"/>
    <col min="5" max="9" width="16.140625" style="18" bestFit="1" customWidth="1"/>
    <col min="10" max="16384" width="9.140625" style="18"/>
  </cols>
  <sheetData>
    <row r="2" spans="2:9" ht="15.75" x14ac:dyDescent="0.25">
      <c r="B2" s="168" t="s">
        <v>22</v>
      </c>
      <c r="C2" s="169"/>
      <c r="D2" s="169"/>
      <c r="E2" s="169"/>
      <c r="F2" s="169"/>
      <c r="G2" s="169"/>
      <c r="H2" s="169"/>
      <c r="I2" s="170"/>
    </row>
    <row r="3" spans="2:9" ht="15.75" x14ac:dyDescent="0.25">
      <c r="B3" s="15" t="s">
        <v>1</v>
      </c>
      <c r="C3" s="16">
        <f>[1]DRE!C2</f>
        <v>2005</v>
      </c>
      <c r="D3" s="16">
        <f>[1]DRE!D2</f>
        <v>2006</v>
      </c>
      <c r="E3" s="16">
        <f>[1]DRE!E2</f>
        <v>2007</v>
      </c>
      <c r="F3" s="16">
        <f>[1]DRE!F2</f>
        <v>2008</v>
      </c>
      <c r="G3" s="16">
        <f>[1]DRE!G2</f>
        <v>2009</v>
      </c>
      <c r="H3" s="16">
        <f>[1]DRE!H2</f>
        <v>2010</v>
      </c>
      <c r="I3" s="17">
        <f>[1]DRE!I2</f>
        <v>2011</v>
      </c>
    </row>
    <row r="4" spans="2:9" ht="15.75" x14ac:dyDescent="0.25">
      <c r="B4" s="3"/>
      <c r="C4" s="4"/>
      <c r="D4" s="4"/>
      <c r="E4" s="4"/>
      <c r="F4" s="4"/>
      <c r="G4" s="4"/>
      <c r="H4" s="4"/>
      <c r="I4" s="5"/>
    </row>
    <row r="5" spans="2:9" ht="15.75" x14ac:dyDescent="0.25">
      <c r="B5" s="6" t="str">
        <f>[1]DRE!B3</f>
        <v>Receita Operacional</v>
      </c>
      <c r="C5" s="7">
        <f>[1]DRE!C3</f>
        <v>1053016.03</v>
      </c>
      <c r="D5" s="7">
        <f>[1]DRE!D3</f>
        <v>901200.5</v>
      </c>
      <c r="E5" s="7">
        <f>[1]DRE!E3</f>
        <v>1293309.31</v>
      </c>
      <c r="F5" s="7">
        <f>[1]DRE!F3</f>
        <v>2051647.1</v>
      </c>
      <c r="G5" s="7">
        <f>[1]DRE!G3</f>
        <v>1526547.28</v>
      </c>
      <c r="H5" s="7">
        <f>[1]DRE!H3</f>
        <v>1905565.6300000001</v>
      </c>
      <c r="I5" s="8">
        <f>[1]DRE!I3</f>
        <v>2303206.5700000003</v>
      </c>
    </row>
    <row r="6" spans="2:9" x14ac:dyDescent="0.2">
      <c r="B6" s="9"/>
      <c r="C6" s="10"/>
      <c r="D6" s="10"/>
      <c r="E6" s="10"/>
      <c r="F6" s="10"/>
      <c r="G6" s="10"/>
      <c r="H6" s="10"/>
      <c r="I6" s="11"/>
    </row>
    <row r="7" spans="2:9" ht="15.75" x14ac:dyDescent="0.25">
      <c r="B7" s="6" t="str">
        <f>[1]DRE!B7</f>
        <v>Deduções da Receita Opecional</v>
      </c>
      <c r="C7" s="7">
        <f>[1]DRE!C7</f>
        <v>-103663.77</v>
      </c>
      <c r="D7" s="7">
        <f>[1]DRE!D7</f>
        <v>-87551</v>
      </c>
      <c r="E7" s="7">
        <f>[1]DRE!E7</f>
        <v>-113114.88</v>
      </c>
      <c r="F7" s="7">
        <f>[1]DRE!F7</f>
        <v>-377387.2</v>
      </c>
      <c r="G7" s="7">
        <f>[1]DRE!G7</f>
        <v>-160603.96</v>
      </c>
      <c r="H7" s="7">
        <f>[1]DRE!H7</f>
        <v>-238737.44</v>
      </c>
      <c r="I7" s="8">
        <f>[1]DRE!I7</f>
        <v>-279739.59000000003</v>
      </c>
    </row>
    <row r="8" spans="2:9" x14ac:dyDescent="0.2">
      <c r="B8" s="9"/>
      <c r="C8" s="10"/>
      <c r="D8" s="10"/>
      <c r="E8" s="10"/>
      <c r="F8" s="10"/>
      <c r="G8" s="10"/>
      <c r="H8" s="10"/>
      <c r="I8" s="11"/>
    </row>
    <row r="9" spans="2:9" ht="15.75" x14ac:dyDescent="0.25">
      <c r="B9" s="6" t="str">
        <f>[1]DRE!B9</f>
        <v>Receita Operacional Líquida</v>
      </c>
      <c r="C9" s="7">
        <f>[1]DRE!C9</f>
        <v>949352.26</v>
      </c>
      <c r="D9" s="7">
        <f>[1]DRE!D9</f>
        <v>813649.5</v>
      </c>
      <c r="E9" s="7">
        <f>[1]DRE!E9</f>
        <v>1180194.4300000002</v>
      </c>
      <c r="F9" s="7">
        <f>[1]DRE!F9</f>
        <v>1674259.9000000001</v>
      </c>
      <c r="G9" s="7">
        <f>[1]DRE!G9</f>
        <v>1365943.32</v>
      </c>
      <c r="H9" s="7">
        <f>[1]DRE!H9</f>
        <v>1666828.1900000002</v>
      </c>
      <c r="I9" s="8">
        <f>[1]DRE!I9</f>
        <v>2023466.9800000002</v>
      </c>
    </row>
    <row r="10" spans="2:9" x14ac:dyDescent="0.2">
      <c r="B10" s="9"/>
      <c r="C10" s="10"/>
      <c r="D10" s="10"/>
      <c r="E10" s="10"/>
      <c r="F10" s="10"/>
      <c r="G10" s="10"/>
      <c r="H10" s="10"/>
      <c r="I10" s="11"/>
    </row>
    <row r="11" spans="2:9" ht="15.75" x14ac:dyDescent="0.25">
      <c r="B11" s="6" t="str">
        <f>[1]DRE!B11</f>
        <v>Custo dos Produtos/Mercadorias Vendidos</v>
      </c>
      <c r="C11" s="7">
        <f>[1]DRE!C11</f>
        <v>-331141.8</v>
      </c>
      <c r="D11" s="7">
        <f>[1]DRE!D11</f>
        <v>-241842.28</v>
      </c>
      <c r="E11" s="7">
        <f>[1]DRE!E11</f>
        <v>-379097.29</v>
      </c>
      <c r="F11" s="7">
        <f>[1]DRE!F11</f>
        <v>-464062.32</v>
      </c>
      <c r="G11" s="7">
        <f>[1]DRE!G11</f>
        <v>-200324.99</v>
      </c>
      <c r="H11" s="7">
        <f>[1]DRE!H11</f>
        <v>-220679.29</v>
      </c>
      <c r="I11" s="8">
        <f>[1]DRE!I11</f>
        <v>-366784.22</v>
      </c>
    </row>
    <row r="12" spans="2:9" x14ac:dyDescent="0.2">
      <c r="B12" s="9"/>
      <c r="C12" s="10"/>
      <c r="D12" s="10"/>
      <c r="E12" s="10"/>
      <c r="F12" s="10"/>
      <c r="G12" s="10"/>
      <c r="H12" s="10"/>
      <c r="I12" s="11"/>
    </row>
    <row r="13" spans="2:9" ht="15.75" x14ac:dyDescent="0.25">
      <c r="B13" s="6" t="str">
        <f>[1]DRE!B12</f>
        <v>Lucro Bruto</v>
      </c>
      <c r="C13" s="7">
        <f>[1]DRE!C12</f>
        <v>618210.46</v>
      </c>
      <c r="D13" s="7">
        <f>[1]DRE!D12</f>
        <v>571807.22</v>
      </c>
      <c r="E13" s="7">
        <f>[1]DRE!E12</f>
        <v>801097.14000000013</v>
      </c>
      <c r="F13" s="7">
        <f>[1]DRE!F12</f>
        <v>1210197.58</v>
      </c>
      <c r="G13" s="7">
        <f>[1]DRE!G12</f>
        <v>1165618.33</v>
      </c>
      <c r="H13" s="7">
        <f>[1]DRE!H12</f>
        <v>1446148.9000000001</v>
      </c>
      <c r="I13" s="8">
        <f>[1]DRE!I12</f>
        <v>1656682.7600000002</v>
      </c>
    </row>
    <row r="14" spans="2:9" x14ac:dyDescent="0.2">
      <c r="B14" s="9"/>
      <c r="C14" s="10"/>
      <c r="D14" s="10"/>
      <c r="E14" s="10"/>
      <c r="F14" s="10"/>
      <c r="G14" s="10"/>
      <c r="H14" s="10"/>
      <c r="I14" s="11"/>
    </row>
    <row r="15" spans="2:9" ht="15.75" x14ac:dyDescent="0.25">
      <c r="B15" s="6" t="str">
        <f>[1]DRE!B14</f>
        <v>Despesas Operacionais</v>
      </c>
      <c r="C15" s="7">
        <f>[1]DRE!C14</f>
        <v>-562001.51</v>
      </c>
      <c r="D15" s="44">
        <f>[1]DRE!D14</f>
        <v>-649195.44000000006</v>
      </c>
      <c r="E15" s="7">
        <f>[1]DRE!E14</f>
        <v>-650294.87</v>
      </c>
      <c r="F15" s="7">
        <f>[1]DRE!F14</f>
        <v>-657978.87</v>
      </c>
      <c r="G15" s="7">
        <f>[1]DRE!G14</f>
        <v>-779974.35</v>
      </c>
      <c r="H15" s="7">
        <f>[1]DRE!H14</f>
        <v>-885012.38</v>
      </c>
      <c r="I15" s="8">
        <f>[1]DRE!I14</f>
        <v>-1283124.6600000001</v>
      </c>
    </row>
    <row r="16" spans="2:9" x14ac:dyDescent="0.2">
      <c r="B16" s="9" t="str">
        <f>[1]DRE!B15</f>
        <v>Operacionais</v>
      </c>
      <c r="C16" s="10">
        <f>[1]DRE!C15</f>
        <v>0</v>
      </c>
      <c r="D16" s="10">
        <f>[1]DRE!D15</f>
        <v>0</v>
      </c>
      <c r="E16" s="10">
        <f>[1]DRE!E15</f>
        <v>0</v>
      </c>
      <c r="F16" s="10">
        <f>[1]DRE!F15</f>
        <v>0</v>
      </c>
      <c r="G16" s="10">
        <f>[1]DRE!G15</f>
        <v>0</v>
      </c>
      <c r="H16" s="10">
        <f>[1]DRE!H15</f>
        <v>0</v>
      </c>
      <c r="I16" s="11">
        <f>[1]DRE!I15</f>
        <v>0</v>
      </c>
    </row>
    <row r="17" spans="2:9" x14ac:dyDescent="0.2">
      <c r="B17" s="9" t="str">
        <f>[1]DRE!B16</f>
        <v>Com Vendas</v>
      </c>
      <c r="C17" s="10">
        <f>[1]DRE!C16</f>
        <v>31540.29</v>
      </c>
      <c r="D17" s="10">
        <f>[1]DRE!D16</f>
        <v>45898.18</v>
      </c>
      <c r="E17" s="10">
        <f>[1]DRE!E16</f>
        <v>55056.28</v>
      </c>
      <c r="F17" s="10">
        <f>[1]DRE!F16</f>
        <v>100493.49</v>
      </c>
      <c r="G17" s="10">
        <f>[1]DRE!G16</f>
        <v>92444.6</v>
      </c>
      <c r="H17" s="10">
        <f>[1]DRE!H16</f>
        <v>127184.34</v>
      </c>
      <c r="I17" s="11">
        <f>[1]DRE!I16</f>
        <v>-247794.14</v>
      </c>
    </row>
    <row r="18" spans="2:9" x14ac:dyDescent="0.2">
      <c r="B18" s="9" t="str">
        <f>[1]DRE!B17</f>
        <v>Administrativas</v>
      </c>
      <c r="C18" s="10">
        <f>[1]DRE!C17</f>
        <v>530461.22</v>
      </c>
      <c r="D18" s="10">
        <f>[1]DRE!D17</f>
        <v>603297.26</v>
      </c>
      <c r="E18" s="10">
        <f>[1]DRE!E17</f>
        <v>595238.59</v>
      </c>
      <c r="F18" s="10">
        <f>[1]DRE!F17</f>
        <v>557485.38</v>
      </c>
      <c r="G18" s="10">
        <f>[1]DRE!G17</f>
        <v>687529.75</v>
      </c>
      <c r="H18" s="10">
        <f>[1]DRE!H17</f>
        <v>757828.04</v>
      </c>
      <c r="I18" s="11">
        <f>[1]DRE!I17</f>
        <v>-1035330.52</v>
      </c>
    </row>
    <row r="19" spans="2:9" x14ac:dyDescent="0.2">
      <c r="B19" s="9"/>
      <c r="C19" s="10"/>
      <c r="D19" s="10"/>
      <c r="E19" s="10"/>
      <c r="F19" s="10"/>
      <c r="G19" s="10"/>
      <c r="H19" s="10"/>
      <c r="I19" s="11"/>
    </row>
    <row r="20" spans="2:9" ht="15.75" x14ac:dyDescent="0.25">
      <c r="B20" s="6" t="str">
        <f>[1]DRE!B19</f>
        <v>Despesas Financeiras</v>
      </c>
      <c r="C20" s="7">
        <f>[1]DRE!C19</f>
        <v>-2459.1799999999998</v>
      </c>
      <c r="D20" s="7">
        <f>[1]DRE!D19</f>
        <v>-2813.17</v>
      </c>
      <c r="E20" s="7">
        <f>[1]DRE!E19</f>
        <v>-13663.63</v>
      </c>
      <c r="F20" s="7">
        <f>[1]DRE!F19</f>
        <v>-6854</v>
      </c>
      <c r="G20" s="7">
        <f>[1]DRE!G19</f>
        <v>-15165.77</v>
      </c>
      <c r="H20" s="7">
        <f>[1]DRE!H19</f>
        <v>-7386.1</v>
      </c>
      <c r="I20" s="8">
        <f>[1]DRE!I19</f>
        <v>-21719.98</v>
      </c>
    </row>
    <row r="21" spans="2:9" x14ac:dyDescent="0.2">
      <c r="B21" s="9"/>
      <c r="C21" s="10"/>
      <c r="D21" s="10"/>
      <c r="E21" s="10"/>
      <c r="F21" s="10"/>
      <c r="G21" s="10"/>
      <c r="H21" s="10"/>
      <c r="I21" s="11"/>
    </row>
    <row r="22" spans="2:9" ht="15.75" x14ac:dyDescent="0.25">
      <c r="B22" s="6" t="str">
        <f>[1]DRE!B21</f>
        <v>Outras Despesas Operacionais</v>
      </c>
      <c r="C22" s="7">
        <f>[1]DRE!C21</f>
        <v>-32258.17</v>
      </c>
      <c r="D22" s="7">
        <f>[1]DRE!D21</f>
        <v>-20501.490000000002</v>
      </c>
      <c r="E22" s="7">
        <f>[1]DRE!E21</f>
        <v>-37540.1</v>
      </c>
      <c r="F22" s="7">
        <f>[1]DRE!F21</f>
        <v>-146379.97</v>
      </c>
      <c r="G22" s="7">
        <f>[1]DRE!G21</f>
        <v>-162790.78</v>
      </c>
      <c r="H22" s="7">
        <f>[1]DRE!H21</f>
        <v>-170702.57</v>
      </c>
      <c r="I22" s="8">
        <f>[1]DRE!I21</f>
        <v>-143015.47</v>
      </c>
    </row>
    <row r="23" spans="2:9" ht="15.75" x14ac:dyDescent="0.25">
      <c r="B23" s="6" t="str">
        <f>[1]DRE!B22</f>
        <v>Outras Receitas Operacionais</v>
      </c>
      <c r="C23" s="7">
        <f>[1]DRE!C22</f>
        <v>4360.25</v>
      </c>
      <c r="D23" s="7">
        <f>[1]DRE!D22</f>
        <v>789</v>
      </c>
      <c r="E23" s="7">
        <f>[1]DRE!E22</f>
        <v>12070.51</v>
      </c>
      <c r="F23" s="7">
        <f>[1]DRE!F22</f>
        <v>34503.839999999997</v>
      </c>
      <c r="G23" s="7">
        <f>[1]DRE!G22</f>
        <v>44390.93</v>
      </c>
      <c r="H23" s="7">
        <f>[1]DRE!H22</f>
        <v>69402.820000000007</v>
      </c>
      <c r="I23" s="8">
        <f>[1]DRE!I22</f>
        <v>122295.86</v>
      </c>
    </row>
    <row r="24" spans="2:9" x14ac:dyDescent="0.2">
      <c r="B24" s="9"/>
      <c r="C24" s="10"/>
      <c r="D24" s="10"/>
      <c r="E24" s="10"/>
      <c r="F24" s="10"/>
      <c r="G24" s="10"/>
      <c r="H24" s="10"/>
      <c r="I24" s="11"/>
    </row>
    <row r="25" spans="2:9" ht="15.75" x14ac:dyDescent="0.25">
      <c r="B25" s="6" t="str">
        <f>[1]DRE!B24</f>
        <v>Despesas Não Operacionais</v>
      </c>
      <c r="C25" s="7">
        <f>[1]DRE!C24</f>
        <v>-6082.42</v>
      </c>
      <c r="D25" s="7">
        <f>[1]DRE!D24</f>
        <v>0</v>
      </c>
      <c r="E25" s="7">
        <f>[1]DRE!E24</f>
        <v>0</v>
      </c>
      <c r="F25" s="7">
        <f>[1]DRE!F24</f>
        <v>0</v>
      </c>
      <c r="G25" s="7">
        <f>[1]DRE!G24</f>
        <v>0</v>
      </c>
      <c r="H25" s="7">
        <f>[1]DRE!H24</f>
        <v>0</v>
      </c>
      <c r="I25" s="8">
        <f>[1]DRE!I24</f>
        <v>0</v>
      </c>
    </row>
    <row r="26" spans="2:9" ht="15.75" x14ac:dyDescent="0.25">
      <c r="B26" s="6"/>
      <c r="C26" s="7"/>
      <c r="D26" s="7"/>
      <c r="E26" s="7"/>
      <c r="F26" s="7"/>
      <c r="G26" s="7"/>
      <c r="H26" s="7"/>
      <c r="I26" s="8"/>
    </row>
    <row r="27" spans="2:9" ht="15.75" x14ac:dyDescent="0.25">
      <c r="B27" s="6" t="str">
        <f>[1]DRE!B26</f>
        <v>Resultado Operacional</v>
      </c>
      <c r="C27" s="7">
        <f>[1]DRE!C26</f>
        <v>19769.429999999957</v>
      </c>
      <c r="D27" s="7">
        <f>[1]DRE!D26</f>
        <v>-99913.880000000092</v>
      </c>
      <c r="E27" s="7">
        <f>[1]DRE!E26</f>
        <v>111669.05000000012</v>
      </c>
      <c r="F27" s="7">
        <f>[1]DRE!F26</f>
        <v>433488.58000000007</v>
      </c>
      <c r="G27" s="7">
        <f>[1]DRE!G26</f>
        <v>252078.36000000007</v>
      </c>
      <c r="H27" s="7">
        <f>[1]DRE!H26</f>
        <v>452450.67000000016</v>
      </c>
      <c r="I27" s="8">
        <f>[1]DRE!I26</f>
        <v>331118.51000000013</v>
      </c>
    </row>
    <row r="28" spans="2:9" x14ac:dyDescent="0.2">
      <c r="B28" s="9" t="str">
        <f>[1]DRE!B27</f>
        <v>Lucro Antes do IR</v>
      </c>
      <c r="C28" s="10">
        <f>[1]DRE!C27</f>
        <v>19769.429999999957</v>
      </c>
      <c r="D28" s="10">
        <f>[1]DRE!D27</f>
        <v>-99913.880000000092</v>
      </c>
      <c r="E28" s="10">
        <f>[1]DRE!E27</f>
        <v>111669.05000000012</v>
      </c>
      <c r="F28" s="10">
        <f>[1]DRE!F27</f>
        <v>433488.58000000007</v>
      </c>
      <c r="G28" s="10">
        <f>[1]DRE!G27</f>
        <v>252078.36000000007</v>
      </c>
      <c r="H28" s="10">
        <f>[1]DRE!H27</f>
        <v>452450.67000000016</v>
      </c>
      <c r="I28" s="11">
        <f>[1]DRE!I27</f>
        <v>331118.51000000013</v>
      </c>
    </row>
    <row r="29" spans="2:9" x14ac:dyDescent="0.2">
      <c r="B29" s="45" t="str">
        <f>[1]DRE!B28</f>
        <v>Resultado Líquido</v>
      </c>
      <c r="C29" s="46">
        <f>[1]DRE!C28</f>
        <v>19769.429999999957</v>
      </c>
      <c r="D29" s="46">
        <f>[1]DRE!D28</f>
        <v>-99913.880000000092</v>
      </c>
      <c r="E29" s="46">
        <f>[1]DRE!E28</f>
        <v>111669.05000000012</v>
      </c>
      <c r="F29" s="46">
        <f>[1]DRE!F28</f>
        <v>433488.58000000007</v>
      </c>
      <c r="G29" s="46">
        <f>[1]DRE!G28</f>
        <v>252078.36000000007</v>
      </c>
      <c r="H29" s="46">
        <f>[1]DRE!H28</f>
        <v>452450.67000000016</v>
      </c>
      <c r="I29" s="47">
        <f>[1]DRE!I28</f>
        <v>331118.51000000013</v>
      </c>
    </row>
    <row r="30" spans="2:9" x14ac:dyDescent="0.2">
      <c r="B30" s="48"/>
      <c r="C30" s="48"/>
      <c r="D30" s="48"/>
      <c r="E30" s="48"/>
      <c r="F30" s="48"/>
      <c r="G30" s="48"/>
      <c r="H30" s="48"/>
      <c r="I30" s="48"/>
    </row>
  </sheetData>
  <mergeCells count="1">
    <mergeCell ref="B2:I2"/>
  </mergeCells>
  <pageMargins left="0.511811024" right="0.511811024" top="0.78740157499999996" bottom="0.78740157499999996" header="0.31496062000000002" footer="0.3149606200000000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2"/>
  <sheetViews>
    <sheetView workbookViewId="0">
      <selection activeCell="H16" sqref="H16"/>
    </sheetView>
  </sheetViews>
  <sheetFormatPr defaultRowHeight="15" x14ac:dyDescent="0.25"/>
  <cols>
    <col min="1" max="1" width="9.140625" style="1"/>
    <col min="2" max="2" width="30.42578125" style="1" bestFit="1" customWidth="1"/>
    <col min="3" max="3" width="12.140625" style="1" customWidth="1"/>
    <col min="4" max="16384" width="9.140625" style="1"/>
  </cols>
  <sheetData>
    <row r="2" spans="2:3" ht="15.75" x14ac:dyDescent="0.25">
      <c r="B2" s="151" t="s">
        <v>169</v>
      </c>
      <c r="C2" s="152" t="s">
        <v>170</v>
      </c>
    </row>
    <row r="3" spans="2:3" x14ac:dyDescent="0.25">
      <c r="B3" s="55" t="s">
        <v>171</v>
      </c>
      <c r="C3" s="54">
        <v>35575</v>
      </c>
    </row>
    <row r="4" spans="2:3" x14ac:dyDescent="0.25">
      <c r="B4" s="55" t="s">
        <v>172</v>
      </c>
      <c r="C4" s="54">
        <v>28912</v>
      </c>
    </row>
    <row r="5" spans="2:3" ht="18.75" x14ac:dyDescent="0.25">
      <c r="B5" s="51" t="s">
        <v>173</v>
      </c>
      <c r="C5" s="52">
        <v>64487</v>
      </c>
    </row>
    <row r="6" spans="2:3" x14ac:dyDescent="0.25">
      <c r="B6" s="55" t="s">
        <v>174</v>
      </c>
      <c r="C6" s="54">
        <v>1179</v>
      </c>
    </row>
    <row r="7" spans="2:3" ht="18.75" x14ac:dyDescent="0.25">
      <c r="B7" s="51" t="s">
        <v>175</v>
      </c>
      <c r="C7" s="52">
        <v>65666</v>
      </c>
    </row>
    <row r="8" spans="2:3" x14ac:dyDescent="0.25">
      <c r="B8" s="55" t="s">
        <v>176</v>
      </c>
      <c r="C8" s="56">
        <v>75</v>
      </c>
    </row>
    <row r="9" spans="2:3" x14ac:dyDescent="0.25">
      <c r="B9" s="55" t="s">
        <v>177</v>
      </c>
      <c r="C9" s="156">
        <v>0</v>
      </c>
    </row>
    <row r="10" spans="2:3" ht="18.75" x14ac:dyDescent="0.25">
      <c r="B10" s="51" t="s">
        <v>178</v>
      </c>
      <c r="C10" s="52">
        <v>65591</v>
      </c>
    </row>
    <row r="11" spans="2:3" x14ac:dyDescent="0.25">
      <c r="B11" s="55" t="s">
        <v>179</v>
      </c>
      <c r="C11" s="54">
        <v>3521</v>
      </c>
    </row>
    <row r="12" spans="2:3" ht="18.75" x14ac:dyDescent="0.25">
      <c r="B12" s="157" t="s">
        <v>180</v>
      </c>
      <c r="C12" s="158">
        <v>62070</v>
      </c>
    </row>
  </sheetData>
  <pageMargins left="0.511811024" right="0.511811024" top="0.78740157499999996" bottom="0.78740157499999996" header="0.31496062000000002" footer="0.3149606200000000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2"/>
  <sheetViews>
    <sheetView workbookViewId="0">
      <selection activeCell="B17" sqref="B17"/>
    </sheetView>
  </sheetViews>
  <sheetFormatPr defaultRowHeight="15" x14ac:dyDescent="0.25"/>
  <cols>
    <col min="1" max="1" width="9.140625" style="1"/>
    <col min="2" max="2" width="57.140625" style="1" bestFit="1" customWidth="1"/>
    <col min="3" max="3" width="13.140625" style="1" bestFit="1" customWidth="1"/>
    <col min="4" max="4" width="9.42578125" style="1" customWidth="1"/>
    <col min="5" max="5" width="10.140625" style="1" bestFit="1" customWidth="1"/>
    <col min="6" max="16384" width="9.140625" style="1"/>
  </cols>
  <sheetData>
    <row r="2" spans="2:5" ht="15.75" x14ac:dyDescent="0.25">
      <c r="B2" s="28"/>
      <c r="C2" s="191" t="s">
        <v>181</v>
      </c>
      <c r="D2" s="191"/>
      <c r="E2" s="192"/>
    </row>
    <row r="3" spans="2:5" ht="15.75" x14ac:dyDescent="0.25">
      <c r="B3" s="34" t="s">
        <v>156</v>
      </c>
      <c r="C3" s="35" t="s">
        <v>182</v>
      </c>
      <c r="D3" s="35" t="s">
        <v>183</v>
      </c>
      <c r="E3" s="36" t="s">
        <v>184</v>
      </c>
    </row>
    <row r="4" spans="2:5" ht="15.75" x14ac:dyDescent="0.25">
      <c r="B4" s="19" t="s">
        <v>185</v>
      </c>
      <c r="C4" s="74">
        <v>0.17530000000000001</v>
      </c>
      <c r="D4" s="74">
        <v>0.16219479821735888</v>
      </c>
      <c r="E4" s="76">
        <v>0.15079999999999999</v>
      </c>
    </row>
    <row r="5" spans="2:5" ht="15.75" x14ac:dyDescent="0.25">
      <c r="B5" s="20" t="s">
        <v>186</v>
      </c>
      <c r="C5" s="74">
        <v>0.2409</v>
      </c>
      <c r="D5" s="74">
        <v>0.2707</v>
      </c>
      <c r="E5" s="76">
        <v>0.30049999999999999</v>
      </c>
    </row>
    <row r="6" spans="2:5" ht="15.75" x14ac:dyDescent="0.25">
      <c r="B6" s="20" t="s">
        <v>187</v>
      </c>
      <c r="C6" s="74">
        <v>2.1000000000000001E-2</v>
      </c>
      <c r="D6" s="74">
        <v>2.1000000000000001E-2</v>
      </c>
      <c r="E6" s="76">
        <v>3.7999999999999999E-2</v>
      </c>
    </row>
    <row r="7" spans="2:5" ht="15.75" x14ac:dyDescent="0.25">
      <c r="B7" s="20" t="s">
        <v>188</v>
      </c>
      <c r="C7" s="159">
        <v>43080.727430899278</v>
      </c>
      <c r="D7" s="159">
        <v>64486.562851554336</v>
      </c>
      <c r="E7" s="160">
        <v>78306.572053091368</v>
      </c>
    </row>
    <row r="8" spans="2:5" ht="15.75" x14ac:dyDescent="0.25">
      <c r="B8" s="20" t="s">
        <v>189</v>
      </c>
      <c r="C8" s="159">
        <v>44259.687440899281</v>
      </c>
      <c r="D8" s="159">
        <v>65665.522861554331</v>
      </c>
      <c r="E8" s="160">
        <v>79485.532063091363</v>
      </c>
    </row>
    <row r="9" spans="2:5" ht="15.75" x14ac:dyDescent="0.25">
      <c r="B9" s="20" t="s">
        <v>190</v>
      </c>
      <c r="C9" s="111">
        <v>44184.98973089928</v>
      </c>
      <c r="D9" s="111">
        <v>65590.825151554338</v>
      </c>
      <c r="E9" s="114">
        <v>79410.83435309137</v>
      </c>
    </row>
    <row r="10" spans="2:5" ht="15.75" x14ac:dyDescent="0.25">
      <c r="B10" s="20" t="s">
        <v>191</v>
      </c>
      <c r="C10" s="111">
        <v>40663.730110899283</v>
      </c>
      <c r="D10" s="111">
        <v>62069.565531554341</v>
      </c>
      <c r="E10" s="114">
        <v>75889.574733091373</v>
      </c>
    </row>
    <row r="11" spans="2:5" ht="15.75" x14ac:dyDescent="0.25">
      <c r="B11" s="20" t="s">
        <v>192</v>
      </c>
      <c r="C11" s="24">
        <v>11.548063619035076</v>
      </c>
      <c r="D11" s="24">
        <v>17.627091504134629</v>
      </c>
      <c r="E11" s="25">
        <v>21.551826028974077</v>
      </c>
    </row>
    <row r="12" spans="2:5" ht="15.75" x14ac:dyDescent="0.25">
      <c r="B12" s="23" t="s">
        <v>193</v>
      </c>
      <c r="C12" s="26">
        <v>12.548063619035076</v>
      </c>
      <c r="D12" s="26">
        <v>18.627091504134629</v>
      </c>
      <c r="E12" s="27">
        <v>22.551826028974077</v>
      </c>
    </row>
  </sheetData>
  <mergeCells count="1">
    <mergeCell ref="C2:E2"/>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35"/>
  <sheetViews>
    <sheetView view="pageBreakPreview" zoomScaleNormal="100" zoomScaleSheetLayoutView="100" workbookViewId="0">
      <selection activeCell="C14" sqref="C14"/>
    </sheetView>
  </sheetViews>
  <sheetFormatPr defaultRowHeight="15" x14ac:dyDescent="0.2"/>
  <cols>
    <col min="1" max="1" width="2.42578125" style="18" customWidth="1"/>
    <col min="2" max="2" width="65" style="18" customWidth="1"/>
    <col min="3" max="3" width="30.5703125" style="18" bestFit="1" customWidth="1"/>
    <col min="4" max="16384" width="9.140625" style="18"/>
  </cols>
  <sheetData>
    <row r="2" spans="2:2" ht="15.75" x14ac:dyDescent="0.2">
      <c r="B2" s="161" t="s">
        <v>194</v>
      </c>
    </row>
    <row r="3" spans="2:2" x14ac:dyDescent="0.2">
      <c r="B3" s="162"/>
    </row>
    <row r="4" spans="2:2" ht="15.75" x14ac:dyDescent="0.2">
      <c r="B4" s="163" t="s">
        <v>312</v>
      </c>
    </row>
    <row r="5" spans="2:2" x14ac:dyDescent="0.2">
      <c r="B5" s="164" t="s">
        <v>195</v>
      </c>
    </row>
    <row r="6" spans="2:2" x14ac:dyDescent="0.2">
      <c r="B6" s="164" t="s">
        <v>196</v>
      </c>
    </row>
    <row r="7" spans="2:2" x14ac:dyDescent="0.2">
      <c r="B7" s="164"/>
    </row>
    <row r="8" spans="2:2" ht="15.75" x14ac:dyDescent="0.2">
      <c r="B8" s="163" t="s">
        <v>313</v>
      </c>
    </row>
    <row r="9" spans="2:2" x14ac:dyDescent="0.2">
      <c r="B9" s="164" t="s">
        <v>197</v>
      </c>
    </row>
    <row r="10" spans="2:2" x14ac:dyDescent="0.2">
      <c r="B10" s="164" t="s">
        <v>198</v>
      </c>
    </row>
    <row r="11" spans="2:2" ht="31.5" x14ac:dyDescent="0.2">
      <c r="B11" s="163" t="s">
        <v>314</v>
      </c>
    </row>
    <row r="12" spans="2:2" x14ac:dyDescent="0.2">
      <c r="B12" s="164" t="s">
        <v>199</v>
      </c>
    </row>
    <row r="13" spans="2:2" x14ac:dyDescent="0.2">
      <c r="B13" s="164"/>
    </row>
    <row r="14" spans="2:2" ht="47.25" x14ac:dyDescent="0.2">
      <c r="B14" s="163" t="s">
        <v>315</v>
      </c>
    </row>
    <row r="15" spans="2:2" ht="45" x14ac:dyDescent="0.2">
      <c r="B15" s="164" t="s">
        <v>200</v>
      </c>
    </row>
    <row r="16" spans="2:2" x14ac:dyDescent="0.2">
      <c r="B16" s="164"/>
    </row>
    <row r="17" spans="2:2" ht="94.5" x14ac:dyDescent="0.2">
      <c r="B17" s="163" t="s">
        <v>316</v>
      </c>
    </row>
    <row r="18" spans="2:2" x14ac:dyDescent="0.2">
      <c r="B18" s="164" t="s">
        <v>201</v>
      </c>
    </row>
    <row r="19" spans="2:2" x14ac:dyDescent="0.2">
      <c r="B19" s="164" t="s">
        <v>202</v>
      </c>
    </row>
    <row r="20" spans="2:2" x14ac:dyDescent="0.2">
      <c r="B20" s="164" t="s">
        <v>203</v>
      </c>
    </row>
    <row r="21" spans="2:2" x14ac:dyDescent="0.2">
      <c r="B21" s="164"/>
    </row>
    <row r="22" spans="2:2" x14ac:dyDescent="0.2">
      <c r="B22" s="164"/>
    </row>
    <row r="23" spans="2:2" x14ac:dyDescent="0.2">
      <c r="B23" s="164"/>
    </row>
    <row r="24" spans="2:2" x14ac:dyDescent="0.2">
      <c r="B24" s="164"/>
    </row>
    <row r="25" spans="2:2" ht="31.5" x14ac:dyDescent="0.2">
      <c r="B25" s="163" t="s">
        <v>204</v>
      </c>
    </row>
    <row r="26" spans="2:2" ht="120" x14ac:dyDescent="0.2">
      <c r="B26" s="164" t="s">
        <v>205</v>
      </c>
    </row>
    <row r="27" spans="2:2" x14ac:dyDescent="0.2">
      <c r="B27" s="164"/>
    </row>
    <row r="28" spans="2:2" ht="31.5" x14ac:dyDescent="0.2">
      <c r="B28" s="163" t="s">
        <v>317</v>
      </c>
    </row>
    <row r="29" spans="2:2" x14ac:dyDescent="0.2">
      <c r="B29" s="164" t="s">
        <v>206</v>
      </c>
    </row>
    <row r="30" spans="2:2" x14ac:dyDescent="0.2">
      <c r="B30" s="164" t="s">
        <v>207</v>
      </c>
    </row>
    <row r="31" spans="2:2" x14ac:dyDescent="0.2">
      <c r="B31" s="164" t="s">
        <v>208</v>
      </c>
    </row>
    <row r="32" spans="2:2" x14ac:dyDescent="0.2">
      <c r="B32" s="164" t="s">
        <v>209</v>
      </c>
    </row>
    <row r="33" spans="2:2" x14ac:dyDescent="0.2">
      <c r="B33" s="164" t="s">
        <v>210</v>
      </c>
    </row>
    <row r="34" spans="2:2" x14ac:dyDescent="0.2">
      <c r="B34" s="164"/>
    </row>
    <row r="35" spans="2:2" ht="47.25" x14ac:dyDescent="0.2">
      <c r="B35" s="163" t="s">
        <v>318</v>
      </c>
    </row>
    <row r="36" spans="2:2" ht="31.5" x14ac:dyDescent="0.2">
      <c r="B36" s="163" t="s">
        <v>211</v>
      </c>
    </row>
    <row r="37" spans="2:2" x14ac:dyDescent="0.2">
      <c r="B37" s="164" t="s">
        <v>212</v>
      </c>
    </row>
    <row r="38" spans="2:2" x14ac:dyDescent="0.2">
      <c r="B38" s="164" t="s">
        <v>213</v>
      </c>
    </row>
    <row r="39" spans="2:2" x14ac:dyDescent="0.2">
      <c r="B39" s="164" t="s">
        <v>214</v>
      </c>
    </row>
    <row r="40" spans="2:2" x14ac:dyDescent="0.2">
      <c r="B40" s="164"/>
    </row>
    <row r="41" spans="2:2" ht="47.25" x14ac:dyDescent="0.2">
      <c r="B41" s="163" t="s">
        <v>319</v>
      </c>
    </row>
    <row r="42" spans="2:2" x14ac:dyDescent="0.2">
      <c r="B42" s="164"/>
    </row>
    <row r="43" spans="2:2" x14ac:dyDescent="0.2">
      <c r="B43" s="164" t="s">
        <v>215</v>
      </c>
    </row>
    <row r="44" spans="2:2" x14ac:dyDescent="0.2">
      <c r="B44" s="164" t="s">
        <v>216</v>
      </c>
    </row>
    <row r="45" spans="2:2" x14ac:dyDescent="0.2">
      <c r="B45" s="164" t="s">
        <v>217</v>
      </c>
    </row>
    <row r="46" spans="2:2" x14ac:dyDescent="0.2">
      <c r="B46" s="164"/>
    </row>
    <row r="47" spans="2:2" ht="31.5" x14ac:dyDescent="0.2">
      <c r="B47" s="163" t="s">
        <v>320</v>
      </c>
    </row>
    <row r="48" spans="2:2" x14ac:dyDescent="0.2">
      <c r="B48" s="164" t="s">
        <v>218</v>
      </c>
    </row>
    <row r="49" spans="2:2" x14ac:dyDescent="0.2">
      <c r="B49" s="164"/>
    </row>
    <row r="50" spans="2:2" ht="31.5" x14ac:dyDescent="0.2">
      <c r="B50" s="163" t="s">
        <v>321</v>
      </c>
    </row>
    <row r="51" spans="2:2" x14ac:dyDescent="0.2">
      <c r="B51" s="164" t="s">
        <v>218</v>
      </c>
    </row>
    <row r="52" spans="2:2" x14ac:dyDescent="0.2">
      <c r="B52" s="164"/>
    </row>
    <row r="53" spans="2:2" ht="15.75" x14ac:dyDescent="0.2">
      <c r="B53" s="163" t="s">
        <v>219</v>
      </c>
    </row>
    <row r="54" spans="2:2" x14ac:dyDescent="0.2">
      <c r="B54" s="164" t="s">
        <v>220</v>
      </c>
    </row>
    <row r="55" spans="2:2" x14ac:dyDescent="0.2">
      <c r="B55" s="164"/>
    </row>
    <row r="56" spans="2:2" ht="31.5" x14ac:dyDescent="0.2">
      <c r="B56" s="163" t="s">
        <v>322</v>
      </c>
    </row>
    <row r="57" spans="2:2" x14ac:dyDescent="0.2">
      <c r="B57" s="164" t="s">
        <v>221</v>
      </c>
    </row>
    <row r="58" spans="2:2" x14ac:dyDescent="0.2">
      <c r="B58" s="164"/>
    </row>
    <row r="59" spans="2:2" ht="31.5" x14ac:dyDescent="0.2">
      <c r="B59" s="163" t="s">
        <v>222</v>
      </c>
    </row>
    <row r="60" spans="2:2" x14ac:dyDescent="0.2">
      <c r="B60" s="164" t="s">
        <v>221</v>
      </c>
    </row>
    <row r="61" spans="2:2" x14ac:dyDescent="0.2">
      <c r="B61" s="164"/>
    </row>
    <row r="62" spans="2:2" ht="31.5" x14ac:dyDescent="0.2">
      <c r="B62" s="163" t="s">
        <v>323</v>
      </c>
    </row>
    <row r="63" spans="2:2" x14ac:dyDescent="0.2">
      <c r="B63" s="164" t="s">
        <v>221</v>
      </c>
    </row>
    <row r="64" spans="2:2" x14ac:dyDescent="0.2">
      <c r="B64" s="164"/>
    </row>
    <row r="65" spans="2:2" ht="15.75" x14ac:dyDescent="0.2">
      <c r="B65" s="163" t="s">
        <v>223</v>
      </c>
    </row>
    <row r="66" spans="2:2" ht="90" x14ac:dyDescent="0.2">
      <c r="B66" s="164" t="s">
        <v>224</v>
      </c>
    </row>
    <row r="67" spans="2:2" x14ac:dyDescent="0.2">
      <c r="B67" s="164"/>
    </row>
    <row r="68" spans="2:2" x14ac:dyDescent="0.2">
      <c r="B68" s="164"/>
    </row>
    <row r="69" spans="2:2" x14ac:dyDescent="0.2">
      <c r="B69" s="164"/>
    </row>
    <row r="70" spans="2:2" x14ac:dyDescent="0.2">
      <c r="B70" s="164"/>
    </row>
    <row r="71" spans="2:2" x14ac:dyDescent="0.2">
      <c r="B71" s="164"/>
    </row>
    <row r="72" spans="2:2" ht="47.25" x14ac:dyDescent="0.2">
      <c r="B72" s="163" t="s">
        <v>324</v>
      </c>
    </row>
    <row r="73" spans="2:2" x14ac:dyDescent="0.2">
      <c r="B73" s="164" t="s">
        <v>225</v>
      </c>
    </row>
    <row r="74" spans="2:2" x14ac:dyDescent="0.2">
      <c r="B74" s="164" t="s">
        <v>226</v>
      </c>
    </row>
    <row r="75" spans="2:2" x14ac:dyDescent="0.2">
      <c r="B75" s="164" t="s">
        <v>227</v>
      </c>
    </row>
    <row r="76" spans="2:2" x14ac:dyDescent="0.2">
      <c r="B76" s="164" t="s">
        <v>228</v>
      </c>
    </row>
    <row r="77" spans="2:2" x14ac:dyDescent="0.2">
      <c r="B77" s="164" t="s">
        <v>229</v>
      </c>
    </row>
    <row r="78" spans="2:2" x14ac:dyDescent="0.2">
      <c r="B78" s="164"/>
    </row>
    <row r="79" spans="2:2" ht="31.5" x14ac:dyDescent="0.2">
      <c r="B79" s="163" t="s">
        <v>325</v>
      </c>
    </row>
    <row r="80" spans="2:2" x14ac:dyDescent="0.2">
      <c r="B80" s="164" t="s">
        <v>218</v>
      </c>
    </row>
    <row r="81" spans="2:2" x14ac:dyDescent="0.2">
      <c r="B81" s="164"/>
    </row>
    <row r="82" spans="2:2" ht="31.5" x14ac:dyDescent="0.2">
      <c r="B82" s="163" t="s">
        <v>326</v>
      </c>
    </row>
    <row r="83" spans="2:2" x14ac:dyDescent="0.2">
      <c r="B83" s="164" t="s">
        <v>230</v>
      </c>
    </row>
    <row r="84" spans="2:2" x14ac:dyDescent="0.2">
      <c r="B84" s="164" t="s">
        <v>231</v>
      </c>
    </row>
    <row r="85" spans="2:2" x14ac:dyDescent="0.2">
      <c r="B85" s="164" t="s">
        <v>232</v>
      </c>
    </row>
    <row r="86" spans="2:2" x14ac:dyDescent="0.2">
      <c r="B86" s="164" t="s">
        <v>233</v>
      </c>
    </row>
    <row r="87" spans="2:2" x14ac:dyDescent="0.2">
      <c r="B87" s="164" t="s">
        <v>234</v>
      </c>
    </row>
    <row r="88" spans="2:2" x14ac:dyDescent="0.2">
      <c r="B88" s="164"/>
    </row>
    <row r="89" spans="2:2" ht="47.25" x14ac:dyDescent="0.2">
      <c r="B89" s="163" t="s">
        <v>327</v>
      </c>
    </row>
    <row r="90" spans="2:2" x14ac:dyDescent="0.2">
      <c r="B90" s="164" t="s">
        <v>221</v>
      </c>
    </row>
    <row r="91" spans="2:2" ht="15.75" x14ac:dyDescent="0.2">
      <c r="B91" s="163" t="s">
        <v>235</v>
      </c>
    </row>
    <row r="92" spans="2:2" x14ac:dyDescent="0.2">
      <c r="B92" s="164" t="s">
        <v>221</v>
      </c>
    </row>
    <row r="93" spans="2:2" ht="31.5" x14ac:dyDescent="0.2">
      <c r="B93" s="163" t="s">
        <v>236</v>
      </c>
    </row>
    <row r="94" spans="2:2" x14ac:dyDescent="0.2">
      <c r="B94" s="164" t="s">
        <v>237</v>
      </c>
    </row>
    <row r="95" spans="2:2" x14ac:dyDescent="0.2">
      <c r="B95" s="164"/>
    </row>
    <row r="96" spans="2:2" ht="15.75" x14ac:dyDescent="0.2">
      <c r="B96" s="163" t="s">
        <v>328</v>
      </c>
    </row>
    <row r="97" spans="2:2" x14ac:dyDescent="0.2">
      <c r="B97" s="164" t="s">
        <v>238</v>
      </c>
    </row>
    <row r="98" spans="2:2" x14ac:dyDescent="0.2">
      <c r="B98" s="164" t="s">
        <v>239</v>
      </c>
    </row>
    <row r="99" spans="2:2" x14ac:dyDescent="0.2">
      <c r="B99" s="164" t="s">
        <v>240</v>
      </c>
    </row>
    <row r="100" spans="2:2" x14ac:dyDescent="0.2">
      <c r="B100" s="164"/>
    </row>
    <row r="101" spans="2:2" ht="31.5" x14ac:dyDescent="0.2">
      <c r="B101" s="163" t="s">
        <v>329</v>
      </c>
    </row>
    <row r="102" spans="2:2" x14ac:dyDescent="0.2">
      <c r="B102" s="164" t="s">
        <v>241</v>
      </c>
    </row>
    <row r="103" spans="2:2" x14ac:dyDescent="0.2">
      <c r="B103" s="164" t="s">
        <v>242</v>
      </c>
    </row>
    <row r="104" spans="2:2" x14ac:dyDescent="0.2">
      <c r="B104" s="164" t="s">
        <v>243</v>
      </c>
    </row>
    <row r="105" spans="2:2" ht="30" x14ac:dyDescent="0.2">
      <c r="B105" s="164" t="s">
        <v>244</v>
      </c>
    </row>
    <row r="106" spans="2:2" x14ac:dyDescent="0.2">
      <c r="B106" s="164"/>
    </row>
    <row r="107" spans="2:2" ht="31.5" x14ac:dyDescent="0.2">
      <c r="B107" s="163" t="s">
        <v>330</v>
      </c>
    </row>
    <row r="108" spans="2:2" ht="45" x14ac:dyDescent="0.2">
      <c r="B108" s="164" t="s">
        <v>245</v>
      </c>
    </row>
    <row r="109" spans="2:2" ht="30" x14ac:dyDescent="0.2">
      <c r="B109" s="164" t="s">
        <v>246</v>
      </c>
    </row>
    <row r="110" spans="2:2" ht="30" x14ac:dyDescent="0.2">
      <c r="B110" s="164" t="s">
        <v>247</v>
      </c>
    </row>
    <row r="111" spans="2:2" ht="45" x14ac:dyDescent="0.2">
      <c r="B111" s="164" t="s">
        <v>248</v>
      </c>
    </row>
    <row r="112" spans="2:2" ht="75" x14ac:dyDescent="0.2">
      <c r="B112" s="164" t="s">
        <v>249</v>
      </c>
    </row>
    <row r="113" spans="2:2" x14ac:dyDescent="0.2">
      <c r="B113" s="164"/>
    </row>
    <row r="114" spans="2:2" ht="63" x14ac:dyDescent="0.2">
      <c r="B114" s="163" t="s">
        <v>348</v>
      </c>
    </row>
    <row r="115" spans="2:2" x14ac:dyDescent="0.2">
      <c r="B115" s="164" t="s">
        <v>250</v>
      </c>
    </row>
    <row r="116" spans="2:2" x14ac:dyDescent="0.2">
      <c r="B116" s="164"/>
    </row>
    <row r="117" spans="2:2" ht="31.5" x14ac:dyDescent="0.2">
      <c r="B117" s="163" t="s">
        <v>331</v>
      </c>
    </row>
    <row r="118" spans="2:2" x14ac:dyDescent="0.2">
      <c r="B118" s="164" t="s">
        <v>221</v>
      </c>
    </row>
    <row r="119" spans="2:2" x14ac:dyDescent="0.2">
      <c r="B119" s="164"/>
    </row>
    <row r="120" spans="2:2" ht="31.5" x14ac:dyDescent="0.2">
      <c r="B120" s="163" t="s">
        <v>349</v>
      </c>
    </row>
    <row r="121" spans="2:2" x14ac:dyDescent="0.2">
      <c r="B121" s="164" t="s">
        <v>221</v>
      </c>
    </row>
    <row r="122" spans="2:2" x14ac:dyDescent="0.2">
      <c r="B122" s="164"/>
    </row>
    <row r="123" spans="2:2" ht="47.25" x14ac:dyDescent="0.2">
      <c r="B123" s="163" t="s">
        <v>251</v>
      </c>
    </row>
    <row r="124" spans="2:2" x14ac:dyDescent="0.2">
      <c r="B124" s="164" t="s">
        <v>252</v>
      </c>
    </row>
    <row r="125" spans="2:2" x14ac:dyDescent="0.2">
      <c r="B125" s="164" t="s">
        <v>253</v>
      </c>
    </row>
    <row r="126" spans="2:2" x14ac:dyDescent="0.2">
      <c r="B126" s="164"/>
    </row>
    <row r="127" spans="2:2" ht="31.5" x14ac:dyDescent="0.2">
      <c r="B127" s="163" t="s">
        <v>332</v>
      </c>
    </row>
    <row r="128" spans="2:2" x14ac:dyDescent="0.2">
      <c r="B128" s="164" t="s">
        <v>254</v>
      </c>
    </row>
    <row r="129" spans="2:3" x14ac:dyDescent="0.2">
      <c r="B129" s="164" t="s">
        <v>255</v>
      </c>
    </row>
    <row r="130" spans="2:3" x14ac:dyDescent="0.2">
      <c r="B130" s="164" t="s">
        <v>256</v>
      </c>
    </row>
    <row r="131" spans="2:3" x14ac:dyDescent="0.2">
      <c r="B131" s="164"/>
    </row>
    <row r="132" spans="2:3" ht="31.5" x14ac:dyDescent="0.2">
      <c r="B132" s="163" t="s">
        <v>333</v>
      </c>
    </row>
    <row r="133" spans="2:3" x14ac:dyDescent="0.2">
      <c r="B133" s="164" t="s">
        <v>257</v>
      </c>
    </row>
    <row r="134" spans="2:3" x14ac:dyDescent="0.2">
      <c r="B134" s="164" t="s">
        <v>258</v>
      </c>
    </row>
    <row r="135" spans="2:3" x14ac:dyDescent="0.2">
      <c r="B135" s="164" t="s">
        <v>259</v>
      </c>
    </row>
    <row r="136" spans="2:3" x14ac:dyDescent="0.2">
      <c r="B136" s="164" t="s">
        <v>260</v>
      </c>
    </row>
    <row r="137" spans="2:3" x14ac:dyDescent="0.2">
      <c r="B137" s="164" t="s">
        <v>261</v>
      </c>
    </row>
    <row r="138" spans="2:3" ht="15.75" customHeight="1" x14ac:dyDescent="0.2">
      <c r="B138" s="174" t="s">
        <v>262</v>
      </c>
      <c r="C138" s="174"/>
    </row>
    <row r="139" spans="2:3" x14ac:dyDescent="0.2">
      <c r="B139" s="164"/>
    </row>
    <row r="140" spans="2:3" ht="63" x14ac:dyDescent="0.2">
      <c r="B140" s="163" t="s">
        <v>334</v>
      </c>
    </row>
    <row r="141" spans="2:3" x14ac:dyDescent="0.2">
      <c r="B141" s="164" t="s">
        <v>221</v>
      </c>
    </row>
    <row r="142" spans="2:3" ht="31.5" x14ac:dyDescent="0.2">
      <c r="B142" s="163" t="s">
        <v>263</v>
      </c>
    </row>
    <row r="143" spans="2:3" x14ac:dyDescent="0.2">
      <c r="B143" s="164" t="s">
        <v>218</v>
      </c>
    </row>
    <row r="144" spans="2:3" x14ac:dyDescent="0.2">
      <c r="B144" s="164"/>
    </row>
    <row r="145" spans="2:2" x14ac:dyDescent="0.2">
      <c r="B145" s="164"/>
    </row>
    <row r="146" spans="2:2" ht="31.5" x14ac:dyDescent="0.2">
      <c r="B146" s="163" t="s">
        <v>335</v>
      </c>
    </row>
    <row r="147" spans="2:2" x14ac:dyDescent="0.2">
      <c r="B147" s="164" t="s">
        <v>264</v>
      </c>
    </row>
    <row r="148" spans="2:2" x14ac:dyDescent="0.2">
      <c r="B148" s="164" t="s">
        <v>265</v>
      </c>
    </row>
    <row r="149" spans="2:2" x14ac:dyDescent="0.2">
      <c r="B149" s="164" t="s">
        <v>266</v>
      </c>
    </row>
    <row r="150" spans="2:2" x14ac:dyDescent="0.2">
      <c r="B150" s="164"/>
    </row>
    <row r="151" spans="2:2" ht="31.5" x14ac:dyDescent="0.2">
      <c r="B151" s="163" t="s">
        <v>336</v>
      </c>
    </row>
    <row r="152" spans="2:2" ht="30" x14ac:dyDescent="0.2">
      <c r="B152" s="164" t="s">
        <v>267</v>
      </c>
    </row>
    <row r="153" spans="2:2" ht="30" x14ac:dyDescent="0.2">
      <c r="B153" s="164" t="s">
        <v>268</v>
      </c>
    </row>
    <row r="154" spans="2:2" ht="30" x14ac:dyDescent="0.2">
      <c r="B154" s="164" t="s">
        <v>269</v>
      </c>
    </row>
    <row r="155" spans="2:2" x14ac:dyDescent="0.2">
      <c r="B155" s="164"/>
    </row>
    <row r="156" spans="2:2" ht="31.5" x14ac:dyDescent="0.2">
      <c r="B156" s="163" t="s">
        <v>337</v>
      </c>
    </row>
    <row r="157" spans="2:2" ht="30" x14ac:dyDescent="0.2">
      <c r="B157" s="164" t="s">
        <v>270</v>
      </c>
    </row>
    <row r="158" spans="2:2" ht="30" x14ac:dyDescent="0.2">
      <c r="B158" s="164" t="s">
        <v>271</v>
      </c>
    </row>
    <row r="159" spans="2:2" x14ac:dyDescent="0.2">
      <c r="B159" s="164" t="s">
        <v>272</v>
      </c>
    </row>
    <row r="160" spans="2:2" x14ac:dyDescent="0.2">
      <c r="B160" s="164" t="s">
        <v>273</v>
      </c>
    </row>
    <row r="161" spans="2:2" x14ac:dyDescent="0.2">
      <c r="B161" s="164" t="s">
        <v>274</v>
      </c>
    </row>
    <row r="162" spans="2:2" ht="30" x14ac:dyDescent="0.2">
      <c r="B162" s="164" t="s">
        <v>275</v>
      </c>
    </row>
    <row r="163" spans="2:2" x14ac:dyDescent="0.2">
      <c r="B163" s="164"/>
    </row>
    <row r="164" spans="2:2" ht="31.5" x14ac:dyDescent="0.2">
      <c r="B164" s="163" t="s">
        <v>338</v>
      </c>
    </row>
    <row r="165" spans="2:2" ht="45" x14ac:dyDescent="0.2">
      <c r="B165" s="164" t="s">
        <v>276</v>
      </c>
    </row>
    <row r="166" spans="2:2" ht="45" x14ac:dyDescent="0.2">
      <c r="B166" s="164" t="s">
        <v>277</v>
      </c>
    </row>
    <row r="167" spans="2:2" x14ac:dyDescent="0.2">
      <c r="B167" s="164"/>
    </row>
    <row r="168" spans="2:2" ht="63" x14ac:dyDescent="0.2">
      <c r="B168" s="163" t="s">
        <v>350</v>
      </c>
    </row>
    <row r="169" spans="2:2" x14ac:dyDescent="0.2">
      <c r="B169" s="165">
        <v>0.5</v>
      </c>
    </row>
    <row r="170" spans="2:2" x14ac:dyDescent="0.2">
      <c r="B170" s="164"/>
    </row>
    <row r="171" spans="2:2" x14ac:dyDescent="0.2">
      <c r="B171" s="164"/>
    </row>
    <row r="172" spans="2:2" x14ac:dyDescent="0.2">
      <c r="B172" s="164"/>
    </row>
    <row r="173" spans="2:2" x14ac:dyDescent="0.2">
      <c r="B173" s="164"/>
    </row>
    <row r="174" spans="2:2" ht="31.5" x14ac:dyDescent="0.2">
      <c r="B174" s="163" t="s">
        <v>339</v>
      </c>
    </row>
    <row r="175" spans="2:2" x14ac:dyDescent="0.2">
      <c r="B175" s="164" t="s">
        <v>278</v>
      </c>
    </row>
    <row r="176" spans="2:2" x14ac:dyDescent="0.2">
      <c r="B176" s="164" t="s">
        <v>279</v>
      </c>
    </row>
    <row r="177" spans="2:3" x14ac:dyDescent="0.2">
      <c r="B177" s="164" t="s">
        <v>280</v>
      </c>
    </row>
    <row r="178" spans="2:3" x14ac:dyDescent="0.2">
      <c r="B178" s="164" t="s">
        <v>281</v>
      </c>
    </row>
    <row r="179" spans="2:3" x14ac:dyDescent="0.2">
      <c r="B179" s="164"/>
    </row>
    <row r="180" spans="2:3" ht="15.75" x14ac:dyDescent="0.2">
      <c r="B180" s="163" t="s">
        <v>340</v>
      </c>
    </row>
    <row r="181" spans="2:3" ht="15.75" x14ac:dyDescent="0.2">
      <c r="B181" s="163"/>
    </row>
    <row r="182" spans="2:3" x14ac:dyDescent="0.2">
      <c r="B182" s="166" t="s">
        <v>282</v>
      </c>
      <c r="C182" s="166">
        <v>8</v>
      </c>
    </row>
    <row r="183" spans="2:3" x14ac:dyDescent="0.2">
      <c r="B183" s="166" t="s">
        <v>114</v>
      </c>
      <c r="C183" s="166">
        <v>12</v>
      </c>
    </row>
    <row r="184" spans="2:3" x14ac:dyDescent="0.2">
      <c r="B184" s="166" t="s">
        <v>113</v>
      </c>
      <c r="C184" s="166">
        <v>19</v>
      </c>
    </row>
    <row r="185" spans="2:3" ht="15.75" x14ac:dyDescent="0.2">
      <c r="B185" s="167" t="s">
        <v>130</v>
      </c>
      <c r="C185" s="166">
        <v>39</v>
      </c>
    </row>
    <row r="186" spans="2:3" ht="15.75" x14ac:dyDescent="0.2">
      <c r="B186" s="163"/>
    </row>
    <row r="187" spans="2:3" ht="31.5" x14ac:dyDescent="0.2">
      <c r="B187" s="163" t="s">
        <v>341</v>
      </c>
    </row>
    <row r="188" spans="2:3" ht="60.75" x14ac:dyDescent="0.2">
      <c r="B188" s="164" t="s">
        <v>351</v>
      </c>
    </row>
    <row r="189" spans="2:3" ht="60.75" x14ac:dyDescent="0.2">
      <c r="B189" s="164" t="s">
        <v>352</v>
      </c>
    </row>
    <row r="190" spans="2:3" ht="15.75" x14ac:dyDescent="0.2">
      <c r="B190" s="164" t="s">
        <v>353</v>
      </c>
    </row>
    <row r="191" spans="2:3" ht="15.75" x14ac:dyDescent="0.2">
      <c r="B191" s="164" t="s">
        <v>354</v>
      </c>
    </row>
    <row r="192" spans="2:3" ht="45" x14ac:dyDescent="0.2">
      <c r="B192" s="164" t="s">
        <v>283</v>
      </c>
    </row>
    <row r="193" spans="2:2" x14ac:dyDescent="0.2">
      <c r="B193" s="164"/>
    </row>
    <row r="194" spans="2:2" ht="47.25" x14ac:dyDescent="0.2">
      <c r="B194" s="163" t="s">
        <v>342</v>
      </c>
    </row>
    <row r="195" spans="2:2" ht="105" x14ac:dyDescent="0.2">
      <c r="B195" s="164" t="s">
        <v>284</v>
      </c>
    </row>
    <row r="196" spans="2:2" x14ac:dyDescent="0.2">
      <c r="B196" s="164"/>
    </row>
    <row r="197" spans="2:2" ht="31.5" x14ac:dyDescent="0.2">
      <c r="B197" s="163" t="s">
        <v>343</v>
      </c>
    </row>
    <row r="198" spans="2:2" x14ac:dyDescent="0.2">
      <c r="B198" s="164" t="s">
        <v>344</v>
      </c>
    </row>
    <row r="199" spans="2:2" x14ac:dyDescent="0.2">
      <c r="B199" s="164"/>
    </row>
    <row r="200" spans="2:2" ht="31.5" x14ac:dyDescent="0.2">
      <c r="B200" s="163" t="s">
        <v>285</v>
      </c>
    </row>
    <row r="201" spans="2:2" ht="60" x14ac:dyDescent="0.2">
      <c r="B201" s="164" t="s">
        <v>286</v>
      </c>
    </row>
    <row r="202" spans="2:2" x14ac:dyDescent="0.2">
      <c r="B202" s="164"/>
    </row>
    <row r="203" spans="2:2" ht="31.5" x14ac:dyDescent="0.2">
      <c r="B203" s="163" t="s">
        <v>345</v>
      </c>
    </row>
    <row r="204" spans="2:2" ht="30" x14ac:dyDescent="0.2">
      <c r="B204" s="164" t="s">
        <v>287</v>
      </c>
    </row>
    <row r="205" spans="2:2" x14ac:dyDescent="0.2">
      <c r="B205" s="164" t="s">
        <v>288</v>
      </c>
    </row>
    <row r="206" spans="2:2" x14ac:dyDescent="0.2">
      <c r="B206" s="164" t="s">
        <v>289</v>
      </c>
    </row>
    <row r="207" spans="2:2" x14ac:dyDescent="0.2">
      <c r="B207" s="164" t="s">
        <v>290</v>
      </c>
    </row>
    <row r="208" spans="2:2" x14ac:dyDescent="0.2">
      <c r="B208" s="164" t="s">
        <v>291</v>
      </c>
    </row>
    <row r="209" spans="2:3" x14ac:dyDescent="0.2">
      <c r="B209" s="164" t="s">
        <v>292</v>
      </c>
    </row>
    <row r="210" spans="2:3" x14ac:dyDescent="0.2">
      <c r="B210" s="164" t="s">
        <v>293</v>
      </c>
    </row>
    <row r="211" spans="2:3" x14ac:dyDescent="0.2">
      <c r="B211" s="164"/>
    </row>
    <row r="212" spans="2:3" ht="31.5" x14ac:dyDescent="0.2">
      <c r="B212" s="163" t="s">
        <v>355</v>
      </c>
    </row>
    <row r="213" spans="2:3" x14ac:dyDescent="0.2">
      <c r="B213" s="164"/>
    </row>
    <row r="214" spans="2:3" ht="47.25" x14ac:dyDescent="0.2">
      <c r="B214" s="163" t="s">
        <v>356</v>
      </c>
    </row>
    <row r="215" spans="2:3" x14ac:dyDescent="0.2">
      <c r="B215" s="164" t="s">
        <v>294</v>
      </c>
    </row>
    <row r="216" spans="2:3" x14ac:dyDescent="0.2">
      <c r="B216" s="164"/>
    </row>
    <row r="217" spans="2:3" ht="31.5" x14ac:dyDescent="0.2">
      <c r="B217" s="163" t="s">
        <v>346</v>
      </c>
    </row>
    <row r="218" spans="2:3" x14ac:dyDescent="0.2">
      <c r="B218" s="164"/>
    </row>
    <row r="219" spans="2:3" x14ac:dyDescent="0.2">
      <c r="B219" s="166" t="s">
        <v>295</v>
      </c>
      <c r="C219" s="166" t="s">
        <v>296</v>
      </c>
    </row>
    <row r="220" spans="2:3" x14ac:dyDescent="0.2">
      <c r="B220" s="166" t="s">
        <v>297</v>
      </c>
      <c r="C220" s="166" t="s">
        <v>298</v>
      </c>
    </row>
    <row r="221" spans="2:3" x14ac:dyDescent="0.2">
      <c r="B221" s="166" t="s">
        <v>299</v>
      </c>
      <c r="C221" s="166" t="s">
        <v>298</v>
      </c>
    </row>
    <row r="222" spans="2:3" x14ac:dyDescent="0.2">
      <c r="B222" s="166" t="s">
        <v>300</v>
      </c>
      <c r="C222" s="166" t="s">
        <v>298</v>
      </c>
    </row>
    <row r="223" spans="2:3" x14ac:dyDescent="0.2">
      <c r="B223" s="166" t="s">
        <v>301</v>
      </c>
      <c r="C223" s="166" t="s">
        <v>302</v>
      </c>
    </row>
    <row r="224" spans="2:3" x14ac:dyDescent="0.2">
      <c r="B224" s="166" t="s">
        <v>303</v>
      </c>
      <c r="C224" s="166" t="s">
        <v>298</v>
      </c>
    </row>
    <row r="225" spans="2:3" x14ac:dyDescent="0.2">
      <c r="B225" s="166" t="s">
        <v>304</v>
      </c>
      <c r="C225" s="166" t="s">
        <v>302</v>
      </c>
    </row>
    <row r="226" spans="2:3" x14ac:dyDescent="0.2">
      <c r="B226" s="166" t="s">
        <v>305</v>
      </c>
      <c r="C226" s="166" t="s">
        <v>298</v>
      </c>
    </row>
    <row r="227" spans="2:3" x14ac:dyDescent="0.2">
      <c r="B227" s="166" t="s">
        <v>306</v>
      </c>
      <c r="C227" s="166" t="s">
        <v>298</v>
      </c>
    </row>
    <row r="228" spans="2:3" x14ac:dyDescent="0.2">
      <c r="B228" s="166" t="s">
        <v>307</v>
      </c>
      <c r="C228" s="166" t="s">
        <v>298</v>
      </c>
    </row>
    <row r="229" spans="2:3" x14ac:dyDescent="0.2">
      <c r="B229" s="166" t="s">
        <v>308</v>
      </c>
      <c r="C229" s="166" t="s">
        <v>298</v>
      </c>
    </row>
    <row r="230" spans="2:3" x14ac:dyDescent="0.2">
      <c r="B230" s="166" t="s">
        <v>309</v>
      </c>
      <c r="C230" s="166" t="s">
        <v>302</v>
      </c>
    </row>
    <row r="231" spans="2:3" x14ac:dyDescent="0.2">
      <c r="B231" s="166" t="s">
        <v>310</v>
      </c>
      <c r="C231" s="166" t="s">
        <v>302</v>
      </c>
    </row>
    <row r="232" spans="2:3" x14ac:dyDescent="0.2">
      <c r="B232" s="164"/>
    </row>
    <row r="233" spans="2:3" x14ac:dyDescent="0.2">
      <c r="B233" s="164"/>
    </row>
    <row r="234" spans="2:3" ht="31.5" x14ac:dyDescent="0.2">
      <c r="B234" s="163" t="s">
        <v>347</v>
      </c>
    </row>
    <row r="235" spans="2:3" x14ac:dyDescent="0.2">
      <c r="B235" s="164" t="s">
        <v>311</v>
      </c>
    </row>
  </sheetData>
  <mergeCells count="1">
    <mergeCell ref="B138:C138"/>
  </mergeCells>
  <pageMargins left="0.39370078740157483" right="0.39370078740157483" top="0.39370078740157483" bottom="0.39370078740157483"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8"/>
  <sheetViews>
    <sheetView workbookViewId="0">
      <selection activeCell="G20" sqref="G20"/>
    </sheetView>
  </sheetViews>
  <sheetFormatPr defaultRowHeight="15" x14ac:dyDescent="0.2"/>
  <cols>
    <col min="1" max="1" width="4.28515625" style="18" customWidth="1"/>
    <col min="2" max="2" width="31.140625" style="18" bestFit="1" customWidth="1"/>
    <col min="3" max="3" width="9.140625" style="18" customWidth="1"/>
    <col min="4" max="4" width="32" style="18" bestFit="1" customWidth="1"/>
    <col min="5" max="5" width="9.140625" style="18" customWidth="1"/>
    <col min="6" max="6" width="9.140625" style="18"/>
    <col min="7" max="7" width="29.7109375" style="18" customWidth="1"/>
    <col min="8" max="16384" width="9.140625" style="18"/>
  </cols>
  <sheetData>
    <row r="1" spans="2:9" ht="15" customHeight="1" x14ac:dyDescent="0.2"/>
    <row r="2" spans="2:9" ht="15" customHeight="1" x14ac:dyDescent="0.2">
      <c r="B2" s="175" t="s">
        <v>56</v>
      </c>
      <c r="C2" s="176"/>
      <c r="D2" s="176"/>
      <c r="E2" s="177"/>
      <c r="G2" s="178" t="s">
        <v>55</v>
      </c>
      <c r="H2" s="179"/>
      <c r="I2" s="180"/>
    </row>
    <row r="3" spans="2:9" ht="15" customHeight="1" x14ac:dyDescent="0.2">
      <c r="B3" s="49" t="s">
        <v>35</v>
      </c>
      <c r="C3" s="50">
        <v>3748</v>
      </c>
      <c r="D3" s="49" t="s">
        <v>3</v>
      </c>
      <c r="E3" s="50">
        <v>3748</v>
      </c>
      <c r="G3" s="64" t="s">
        <v>23</v>
      </c>
      <c r="H3" s="60"/>
      <c r="I3" s="65">
        <v>2023</v>
      </c>
    </row>
    <row r="4" spans="2:9" ht="15" customHeight="1" x14ac:dyDescent="0.2">
      <c r="B4" s="51" t="s">
        <v>36</v>
      </c>
      <c r="C4" s="52">
        <v>2052</v>
      </c>
      <c r="D4" s="51" t="s">
        <v>4</v>
      </c>
      <c r="E4" s="53">
        <v>227</v>
      </c>
      <c r="G4" s="66" t="s">
        <v>53</v>
      </c>
      <c r="H4" s="61"/>
      <c r="I4" s="67">
        <v>-367</v>
      </c>
    </row>
    <row r="5" spans="2:9" ht="15" customHeight="1" x14ac:dyDescent="0.2">
      <c r="B5" s="51" t="s">
        <v>37</v>
      </c>
      <c r="C5" s="54">
        <v>1240</v>
      </c>
      <c r="D5" s="55" t="s">
        <v>5</v>
      </c>
      <c r="E5" s="56">
        <v>101</v>
      </c>
      <c r="G5" s="66" t="s">
        <v>24</v>
      </c>
      <c r="H5" s="62"/>
      <c r="I5" s="68">
        <v>1657</v>
      </c>
    </row>
    <row r="6" spans="2:9" ht="15" customHeight="1" x14ac:dyDescent="0.2">
      <c r="B6" s="55" t="s">
        <v>38</v>
      </c>
      <c r="C6" s="56">
        <v>19</v>
      </c>
      <c r="D6" s="55" t="s">
        <v>15</v>
      </c>
      <c r="E6" s="56">
        <v>75</v>
      </c>
      <c r="G6" s="66" t="s">
        <v>25</v>
      </c>
      <c r="H6" s="62"/>
      <c r="I6" s="68">
        <v>-1283</v>
      </c>
    </row>
    <row r="7" spans="2:9" ht="15" customHeight="1" x14ac:dyDescent="0.2">
      <c r="B7" s="55" t="s">
        <v>39</v>
      </c>
      <c r="C7" s="56">
        <v>42</v>
      </c>
      <c r="D7" s="55" t="s">
        <v>8</v>
      </c>
      <c r="E7" s="56">
        <v>6</v>
      </c>
      <c r="G7" s="69" t="s">
        <v>26</v>
      </c>
      <c r="H7" s="62"/>
      <c r="I7" s="70">
        <v>-248</v>
      </c>
    </row>
    <row r="8" spans="2:9" ht="15" customHeight="1" x14ac:dyDescent="0.2">
      <c r="B8" s="55" t="s">
        <v>40</v>
      </c>
      <c r="C8" s="54">
        <v>1179</v>
      </c>
      <c r="D8" s="55" t="s">
        <v>9</v>
      </c>
      <c r="E8" s="56">
        <v>17</v>
      </c>
      <c r="G8" s="69" t="s">
        <v>27</v>
      </c>
      <c r="H8" s="62"/>
      <c r="I8" s="71">
        <v>-1035</v>
      </c>
    </row>
    <row r="9" spans="2:9" ht="15" customHeight="1" x14ac:dyDescent="0.2">
      <c r="B9" s="51" t="s">
        <v>41</v>
      </c>
      <c r="C9" s="53">
        <v>559</v>
      </c>
      <c r="D9" s="55" t="s">
        <v>42</v>
      </c>
      <c r="E9" s="56">
        <v>1</v>
      </c>
      <c r="G9" s="69" t="s">
        <v>54</v>
      </c>
      <c r="H9" s="62"/>
      <c r="I9" s="70">
        <v>-3</v>
      </c>
    </row>
    <row r="10" spans="2:9" ht="15" customHeight="1" x14ac:dyDescent="0.2">
      <c r="B10" s="55" t="s">
        <v>43</v>
      </c>
      <c r="C10" s="56">
        <v>558</v>
      </c>
      <c r="D10" s="55" t="s">
        <v>44</v>
      </c>
      <c r="E10" s="56">
        <v>24</v>
      </c>
      <c r="G10" s="66" t="s">
        <v>28</v>
      </c>
      <c r="H10" s="62"/>
      <c r="I10" s="67">
        <v>-22</v>
      </c>
    </row>
    <row r="11" spans="2:9" ht="15" customHeight="1" x14ac:dyDescent="0.2">
      <c r="B11" s="55" t="s">
        <v>45</v>
      </c>
      <c r="C11" s="56">
        <v>0</v>
      </c>
      <c r="D11" s="55" t="s">
        <v>12</v>
      </c>
      <c r="E11" s="56">
        <v>3</v>
      </c>
      <c r="G11" s="66" t="s">
        <v>29</v>
      </c>
      <c r="H11" s="62"/>
      <c r="I11" s="67">
        <v>-143</v>
      </c>
    </row>
    <row r="12" spans="2:9" ht="15" customHeight="1" x14ac:dyDescent="0.2">
      <c r="B12" s="51" t="s">
        <v>46</v>
      </c>
      <c r="C12" s="53">
        <v>254</v>
      </c>
      <c r="D12" s="51" t="s">
        <v>14</v>
      </c>
      <c r="E12" s="53" t="s">
        <v>47</v>
      </c>
      <c r="G12" s="66" t="s">
        <v>30</v>
      </c>
      <c r="H12" s="62"/>
      <c r="I12" s="67">
        <v>122</v>
      </c>
    </row>
    <row r="13" spans="2:9" ht="15" customHeight="1" x14ac:dyDescent="0.2">
      <c r="B13" s="55" t="s">
        <v>48</v>
      </c>
      <c r="C13" s="56">
        <v>90</v>
      </c>
      <c r="D13" s="55" t="s">
        <v>15</v>
      </c>
      <c r="E13" s="56" t="s">
        <v>47</v>
      </c>
      <c r="G13" s="66" t="s">
        <v>31</v>
      </c>
      <c r="H13" s="62"/>
      <c r="I13" s="70">
        <v>0</v>
      </c>
    </row>
    <row r="14" spans="2:9" ht="15" customHeight="1" x14ac:dyDescent="0.2">
      <c r="B14" s="55" t="s">
        <v>49</v>
      </c>
      <c r="C14" s="56">
        <v>164</v>
      </c>
      <c r="D14" s="51" t="s">
        <v>16</v>
      </c>
      <c r="E14" s="52">
        <v>3521</v>
      </c>
      <c r="G14" s="66" t="s">
        <v>32</v>
      </c>
      <c r="H14" s="62"/>
      <c r="I14" s="67">
        <v>331</v>
      </c>
    </row>
    <row r="15" spans="2:9" ht="15" customHeight="1" x14ac:dyDescent="0.2">
      <c r="B15" s="51" t="s">
        <v>50</v>
      </c>
      <c r="C15" s="52">
        <v>1696</v>
      </c>
      <c r="D15" s="55" t="s">
        <v>18</v>
      </c>
      <c r="E15" s="56">
        <v>200</v>
      </c>
      <c r="G15" s="69" t="s">
        <v>33</v>
      </c>
      <c r="H15" s="62"/>
      <c r="I15" s="70">
        <v>331</v>
      </c>
    </row>
    <row r="16" spans="2:9" ht="15" customHeight="1" x14ac:dyDescent="0.2">
      <c r="B16" s="55" t="s">
        <v>51</v>
      </c>
      <c r="C16" s="54">
        <v>2339</v>
      </c>
      <c r="D16" s="55" t="s">
        <v>20</v>
      </c>
      <c r="E16" s="54">
        <v>1508</v>
      </c>
      <c r="G16" s="72" t="s">
        <v>34</v>
      </c>
      <c r="H16" s="63"/>
      <c r="I16" s="73">
        <v>331</v>
      </c>
    </row>
    <row r="17" spans="2:5" ht="15" customHeight="1" x14ac:dyDescent="0.2">
      <c r="B17" s="57" t="s">
        <v>52</v>
      </c>
      <c r="C17" s="58">
        <v>-643</v>
      </c>
      <c r="D17" s="57" t="s">
        <v>21</v>
      </c>
      <c r="E17" s="59">
        <v>1813</v>
      </c>
    </row>
    <row r="18" spans="2:5" ht="15" customHeight="1" x14ac:dyDescent="0.2"/>
  </sheetData>
  <mergeCells count="2">
    <mergeCell ref="B2:E2"/>
    <mergeCell ref="G2:I2"/>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48"/>
  <sheetViews>
    <sheetView topLeftCell="A10" workbookViewId="0">
      <selection activeCell="E52" sqref="E52"/>
    </sheetView>
  </sheetViews>
  <sheetFormatPr defaultRowHeight="15" x14ac:dyDescent="0.2"/>
  <cols>
    <col min="1" max="1" width="9.140625" style="48"/>
    <col min="2" max="2" width="31.28515625" style="48" bestFit="1" customWidth="1"/>
    <col min="3" max="3" width="18.85546875" style="48" hidden="1" customWidth="1"/>
    <col min="4" max="4" width="16.140625" style="48" bestFit="1" customWidth="1"/>
    <col min="5" max="13" width="17.5703125" style="48" bestFit="1" customWidth="1"/>
    <col min="14" max="16384" width="9.140625" style="48"/>
  </cols>
  <sheetData>
    <row r="2" spans="2:13" ht="15.75" x14ac:dyDescent="0.25">
      <c r="B2" s="181" t="s">
        <v>57</v>
      </c>
      <c r="C2" s="182"/>
      <c r="D2" s="182"/>
      <c r="E2" s="182"/>
      <c r="F2" s="182"/>
      <c r="G2" s="182"/>
      <c r="H2" s="182"/>
      <c r="I2" s="182"/>
      <c r="J2" s="182"/>
      <c r="K2" s="182"/>
      <c r="L2" s="182"/>
      <c r="M2" s="183"/>
    </row>
    <row r="3" spans="2:13" ht="15.75" x14ac:dyDescent="0.25">
      <c r="B3" s="15" t="s">
        <v>58</v>
      </c>
      <c r="C3" s="16" t="s">
        <v>59</v>
      </c>
      <c r="D3" s="81" t="s">
        <v>60</v>
      </c>
      <c r="E3" s="81" t="s">
        <v>61</v>
      </c>
      <c r="F3" s="81" t="s">
        <v>62</v>
      </c>
      <c r="G3" s="81" t="s">
        <v>63</v>
      </c>
      <c r="H3" s="81" t="s">
        <v>64</v>
      </c>
      <c r="I3" s="81" t="s">
        <v>65</v>
      </c>
      <c r="J3" s="81" t="s">
        <v>66</v>
      </c>
      <c r="K3" s="81" t="s">
        <v>67</v>
      </c>
      <c r="L3" s="81" t="s">
        <v>68</v>
      </c>
      <c r="M3" s="82" t="s">
        <v>69</v>
      </c>
    </row>
    <row r="4" spans="2:13" ht="15.75" x14ac:dyDescent="0.25">
      <c r="B4" s="6" t="s">
        <v>70</v>
      </c>
      <c r="C4" s="7">
        <v>2023466.98</v>
      </c>
      <c r="D4" s="7">
        <f>C4+(C4*D5)</f>
        <v>5676027.225598</v>
      </c>
      <c r="E4" s="7">
        <f>D4+(D4*E5)</f>
        <v>12544020.16857158</v>
      </c>
      <c r="F4" s="7">
        <f>E4+(E4*F5)</f>
        <v>22689623.680912271</v>
      </c>
      <c r="G4" s="7">
        <f>F4+(F4*G5)</f>
        <v>34762772.44152569</v>
      </c>
      <c r="H4" s="7">
        <f t="shared" ref="H4:M4" si="0">G4+(G4*H5)</f>
        <v>44458109.675467208</v>
      </c>
      <c r="I4" s="7">
        <f t="shared" si="0"/>
        <v>51393574.784840092</v>
      </c>
      <c r="J4" s="7">
        <f t="shared" si="0"/>
        <v>56327357.964184739</v>
      </c>
      <c r="K4" s="7">
        <f t="shared" si="0"/>
        <v>59797123.21477852</v>
      </c>
      <c r="L4" s="7">
        <f t="shared" si="0"/>
        <v>61052862.802288868</v>
      </c>
      <c r="M4" s="8">
        <f t="shared" si="0"/>
        <v>62334972.921136931</v>
      </c>
    </row>
    <row r="5" spans="2:13" x14ac:dyDescent="0.2">
      <c r="B5" s="9" t="s">
        <v>71</v>
      </c>
      <c r="C5" s="10"/>
      <c r="D5" s="83">
        <v>1.8050999999999999</v>
      </c>
      <c r="E5" s="83">
        <v>1.21</v>
      </c>
      <c r="F5" s="83">
        <v>0.80879999999999996</v>
      </c>
      <c r="G5" s="83">
        <v>0.53210000000000002</v>
      </c>
      <c r="H5" s="83">
        <v>0.27889999999999998</v>
      </c>
      <c r="I5" s="83">
        <v>0.156</v>
      </c>
      <c r="J5" s="83">
        <v>9.6000000000000002E-2</v>
      </c>
      <c r="K5" s="83">
        <v>6.1600000000000002E-2</v>
      </c>
      <c r="L5" s="83">
        <v>2.1000000000000001E-2</v>
      </c>
      <c r="M5" s="84">
        <v>2.1000000000000001E-2</v>
      </c>
    </row>
    <row r="6" spans="2:13" x14ac:dyDescent="0.2">
      <c r="B6" s="9"/>
      <c r="C6" s="10"/>
      <c r="D6" s="10"/>
      <c r="E6" s="10"/>
      <c r="F6" s="10"/>
      <c r="G6" s="10"/>
      <c r="H6" s="10"/>
      <c r="I6" s="10"/>
      <c r="J6" s="10"/>
      <c r="K6" s="10"/>
      <c r="L6" s="10"/>
      <c r="M6" s="11"/>
    </row>
    <row r="7" spans="2:13" ht="15.75" x14ac:dyDescent="0.25">
      <c r="B7" s="6" t="s">
        <v>72</v>
      </c>
      <c r="C7" s="85">
        <f>C8+C11</f>
        <v>0.41764560000000001</v>
      </c>
      <c r="D7" s="7">
        <f>D8+D11</f>
        <v>2037815.9526147095</v>
      </c>
      <c r="E7" s="7">
        <f t="shared" ref="E7:M7" si="1">E8+E11</f>
        <v>4165628.7673897399</v>
      </c>
      <c r="F7" s="7">
        <f t="shared" si="1"/>
        <v>7258629.1779680047</v>
      </c>
      <c r="G7" s="7">
        <f t="shared" si="1"/>
        <v>10916599.965823635</v>
      </c>
      <c r="H7" s="7">
        <f t="shared" si="1"/>
        <v>13866353.017588513</v>
      </c>
      <c r="I7" s="7">
        <f t="shared" si="1"/>
        <v>16012372.832787801</v>
      </c>
      <c r="J7" s="7">
        <f t="shared" si="1"/>
        <v>17565177.041576471</v>
      </c>
      <c r="K7" s="7">
        <f t="shared" si="1"/>
        <v>18694100.778679825</v>
      </c>
      <c r="L7" s="7">
        <f t="shared" si="1"/>
        <v>19176766.960043892</v>
      </c>
      <c r="M7" s="8">
        <f t="shared" si="1"/>
        <v>19678966.187377546</v>
      </c>
    </row>
    <row r="8" spans="2:13" ht="15.75" x14ac:dyDescent="0.25">
      <c r="B8" s="6" t="s">
        <v>73</v>
      </c>
      <c r="C8" s="85">
        <f>C9+C10</f>
        <v>0.29320000000000002</v>
      </c>
      <c r="D8" s="7">
        <f>D9+D10</f>
        <v>1664211.1825453336</v>
      </c>
      <c r="E8" s="7">
        <f t="shared" ref="E8:M8" si="2">E9+E10</f>
        <v>3677906.7134251874</v>
      </c>
      <c r="F8" s="7">
        <f t="shared" si="2"/>
        <v>6652597.6632434772</v>
      </c>
      <c r="G8" s="7">
        <f t="shared" si="2"/>
        <v>10192444.879855331</v>
      </c>
      <c r="H8" s="7">
        <f t="shared" si="2"/>
        <v>13035117.756846985</v>
      </c>
      <c r="I8" s="7">
        <f t="shared" si="2"/>
        <v>15068596.126915116</v>
      </c>
      <c r="J8" s="7">
        <f t="shared" si="2"/>
        <v>16515181.355098965</v>
      </c>
      <c r="K8" s="7">
        <f t="shared" si="2"/>
        <v>17532516.526573062</v>
      </c>
      <c r="L8" s="7">
        <f t="shared" si="2"/>
        <v>17900699.373631094</v>
      </c>
      <c r="M8" s="8">
        <f t="shared" si="2"/>
        <v>18276614.060477346</v>
      </c>
    </row>
    <row r="9" spans="2:13" x14ac:dyDescent="0.2">
      <c r="B9" s="9" t="s">
        <v>74</v>
      </c>
      <c r="C9" s="75">
        <v>0.26519999999999999</v>
      </c>
      <c r="D9" s="10">
        <f t="shared" ref="D9:M9" si="3">D4*$C$9</f>
        <v>1505282.4202285896</v>
      </c>
      <c r="E9" s="10">
        <f t="shared" si="3"/>
        <v>3326674.1487051831</v>
      </c>
      <c r="F9" s="10">
        <f t="shared" si="3"/>
        <v>6017288.200177934</v>
      </c>
      <c r="G9" s="10">
        <f t="shared" si="3"/>
        <v>9219087.2514926121</v>
      </c>
      <c r="H9" s="10">
        <f t="shared" si="3"/>
        <v>11790290.685933903</v>
      </c>
      <c r="I9" s="10">
        <f t="shared" si="3"/>
        <v>13629576.032939592</v>
      </c>
      <c r="J9" s="10">
        <f t="shared" si="3"/>
        <v>14938015.332101792</v>
      </c>
      <c r="K9" s="10">
        <f t="shared" si="3"/>
        <v>15858197.076559262</v>
      </c>
      <c r="L9" s="10">
        <f t="shared" si="3"/>
        <v>16191219.215167006</v>
      </c>
      <c r="M9" s="11">
        <f t="shared" si="3"/>
        <v>16531234.818685513</v>
      </c>
    </row>
    <row r="10" spans="2:13" x14ac:dyDescent="0.2">
      <c r="B10" s="9" t="s">
        <v>75</v>
      </c>
      <c r="C10" s="75">
        <v>2.8000000000000001E-2</v>
      </c>
      <c r="D10" s="10">
        <f t="shared" ref="D10:M10" si="4">D4*$C$10</f>
        <v>158928.76231674399</v>
      </c>
      <c r="E10" s="10">
        <f t="shared" si="4"/>
        <v>351232.56472000427</v>
      </c>
      <c r="F10" s="10">
        <f t="shared" si="4"/>
        <v>635309.46306554356</v>
      </c>
      <c r="G10" s="10">
        <f t="shared" si="4"/>
        <v>973357.62836271932</v>
      </c>
      <c r="H10" s="10">
        <f t="shared" si="4"/>
        <v>1244827.0709130818</v>
      </c>
      <c r="I10" s="10">
        <f t="shared" si="4"/>
        <v>1439020.0939755226</v>
      </c>
      <c r="J10" s="10">
        <f t="shared" si="4"/>
        <v>1577166.0229971728</v>
      </c>
      <c r="K10" s="10">
        <f t="shared" si="4"/>
        <v>1674319.4500137987</v>
      </c>
      <c r="L10" s="10">
        <f t="shared" si="4"/>
        <v>1709480.1584640883</v>
      </c>
      <c r="M10" s="11">
        <f t="shared" si="4"/>
        <v>1745379.2417918341</v>
      </c>
    </row>
    <row r="11" spans="2:13" ht="15.75" x14ac:dyDescent="0.25">
      <c r="B11" s="6" t="s">
        <v>76</v>
      </c>
      <c r="C11" s="85">
        <f>C12+C13</f>
        <v>0.12444559999999999</v>
      </c>
      <c r="D11" s="7">
        <f>D12+D13</f>
        <v>373604.77006937581</v>
      </c>
      <c r="E11" s="7">
        <f t="shared" ref="E11:M11" si="5">E12+E13</f>
        <v>487722.05396455259</v>
      </c>
      <c r="F11" s="7">
        <f t="shared" si="5"/>
        <v>606031.51472452772</v>
      </c>
      <c r="G11" s="7">
        <f t="shared" si="5"/>
        <v>724155.08596830431</v>
      </c>
      <c r="H11" s="7">
        <f t="shared" si="5"/>
        <v>831235.26074152894</v>
      </c>
      <c r="I11" s="7">
        <f t="shared" si="5"/>
        <v>943776.70587268483</v>
      </c>
      <c r="J11" s="7">
        <f t="shared" si="5"/>
        <v>1049995.6864775054</v>
      </c>
      <c r="K11" s="7">
        <f t="shared" si="5"/>
        <v>1161584.2521067641</v>
      </c>
      <c r="L11" s="7">
        <f t="shared" si="5"/>
        <v>1276067.5864128005</v>
      </c>
      <c r="M11" s="8">
        <f t="shared" si="5"/>
        <v>1402352.1269001998</v>
      </c>
    </row>
    <row r="12" spans="2:13" x14ac:dyDescent="0.2">
      <c r="B12" s="9" t="s">
        <v>77</v>
      </c>
      <c r="C12" s="75">
        <f>0.0667*1.368</f>
        <v>9.1245599999999996E-2</v>
      </c>
      <c r="D12" s="10">
        <f>(((C4*0.0741)*1.368)*1.1)*[2]F!D17</f>
        <v>307084.30434772081</v>
      </c>
      <c r="E12" s="10">
        <f>(D12*1.1)*[2]F!E17</f>
        <v>419538.5765998562</v>
      </c>
      <c r="F12" s="10">
        <f>(E12*1.1)*[2]F!F17</f>
        <v>536143.45042571391</v>
      </c>
      <c r="G12" s="10">
        <f>(F12*1.1)*[2]F!G17</f>
        <v>652519.82006202021</v>
      </c>
      <c r="H12" s="10">
        <f>(G12*1.1)*[2]F!H17</f>
        <v>757809.1131875877</v>
      </c>
      <c r="I12" s="10">
        <f>(H12*1.1)*[2]F!I17</f>
        <v>859598.03327094449</v>
      </c>
      <c r="J12" s="10">
        <f>(I12*1.1)*[2]F!J17</f>
        <v>963712.54706072144</v>
      </c>
      <c r="K12" s="10">
        <f>(J12*1.1)*[2]F!K17</f>
        <v>1073144.0342045608</v>
      </c>
      <c r="L12" s="10">
        <f>(K12*1.1)*[2]F!L17</f>
        <v>1185416.3630630421</v>
      </c>
      <c r="M12" s="11">
        <f>(L12*1.1)*[2]F!M17</f>
        <v>1309434.6229666974</v>
      </c>
    </row>
    <row r="13" spans="2:13" x14ac:dyDescent="0.2">
      <c r="B13" s="9" t="s">
        <v>78</v>
      </c>
      <c r="C13" s="75">
        <v>3.32E-2</v>
      </c>
      <c r="D13" s="10">
        <f>-[2]Imobilizado!D17</f>
        <v>66520.465721654997</v>
      </c>
      <c r="E13" s="10">
        <f>-[2]Imobilizado!E17</f>
        <v>68183.477364696373</v>
      </c>
      <c r="F13" s="10">
        <f>-[2]Imobilizado!F17</f>
        <v>69888.06429881377</v>
      </c>
      <c r="G13" s="10">
        <f>-[2]Imobilizado!G17</f>
        <v>71635.265906284098</v>
      </c>
      <c r="H13" s="10">
        <f>-[2]Imobilizado!H17</f>
        <v>73426.147553941191</v>
      </c>
      <c r="I13" s="10">
        <f>-[2]Imobilizado!I17</f>
        <v>84178.672601740342</v>
      </c>
      <c r="J13" s="10">
        <f>-[2]Imobilizado!J17</f>
        <v>86283.139416783844</v>
      </c>
      <c r="K13" s="10">
        <f>-[2]Imobilizado!K17</f>
        <v>88440.217902203425</v>
      </c>
      <c r="L13" s="10">
        <f>-[2]Imobilizado!L17</f>
        <v>90651.223349758497</v>
      </c>
      <c r="M13" s="11">
        <f>-[2]Imobilizado!M17</f>
        <v>92917.503933502463</v>
      </c>
    </row>
    <row r="14" spans="2:13" x14ac:dyDescent="0.2">
      <c r="B14" s="9" t="s">
        <v>79</v>
      </c>
      <c r="C14" s="75">
        <v>1.9400000000000001E-2</v>
      </c>
      <c r="D14" s="10">
        <f t="shared" ref="D14:M14" si="6">D4*$C$14</f>
        <v>110114.9281766012</v>
      </c>
      <c r="E14" s="10">
        <f t="shared" si="6"/>
        <v>243353.99127028865</v>
      </c>
      <c r="F14" s="10">
        <f t="shared" si="6"/>
        <v>440178.69940969808</v>
      </c>
      <c r="G14" s="10">
        <f t="shared" si="6"/>
        <v>674397.78536559839</v>
      </c>
      <c r="H14" s="10">
        <f t="shared" si="6"/>
        <v>862487.32770406385</v>
      </c>
      <c r="I14" s="10">
        <f t="shared" si="6"/>
        <v>997035.35082589777</v>
      </c>
      <c r="J14" s="10">
        <f t="shared" si="6"/>
        <v>1092750.744505184</v>
      </c>
      <c r="K14" s="10">
        <f t="shared" si="6"/>
        <v>1160064.1903667033</v>
      </c>
      <c r="L14" s="10">
        <f t="shared" si="6"/>
        <v>1184425.5383644041</v>
      </c>
      <c r="M14" s="11">
        <f t="shared" si="6"/>
        <v>1209298.4746700565</v>
      </c>
    </row>
    <row r="15" spans="2:13" ht="15.75" x14ac:dyDescent="0.25">
      <c r="B15" s="6" t="s">
        <v>24</v>
      </c>
      <c r="C15" s="85">
        <f t="shared" ref="C15:M15" si="7">C4-C7</f>
        <v>2023466.5623544001</v>
      </c>
      <c r="D15" s="7">
        <f t="shared" si="7"/>
        <v>3638211.2729832903</v>
      </c>
      <c r="E15" s="7">
        <f t="shared" si="7"/>
        <v>8378391.4011818403</v>
      </c>
      <c r="F15" s="7">
        <f t="shared" si="7"/>
        <v>15430994.502944266</v>
      </c>
      <c r="G15" s="7">
        <f t="shared" si="7"/>
        <v>23846172.475702055</v>
      </c>
      <c r="H15" s="7">
        <f t="shared" si="7"/>
        <v>30591756.657878697</v>
      </c>
      <c r="I15" s="7">
        <f t="shared" si="7"/>
        <v>35381201.952052295</v>
      </c>
      <c r="J15" s="7">
        <f t="shared" si="7"/>
        <v>38762180.922608271</v>
      </c>
      <c r="K15" s="7">
        <f t="shared" si="7"/>
        <v>41103022.436098695</v>
      </c>
      <c r="L15" s="7">
        <f t="shared" si="7"/>
        <v>41876095.842244975</v>
      </c>
      <c r="M15" s="8">
        <f t="shared" si="7"/>
        <v>42656006.733759388</v>
      </c>
    </row>
    <row r="16" spans="2:13" x14ac:dyDescent="0.2">
      <c r="B16" s="9"/>
      <c r="C16" s="75"/>
      <c r="D16" s="10"/>
      <c r="E16" s="10"/>
      <c r="F16" s="10"/>
      <c r="G16" s="10"/>
      <c r="H16" s="10"/>
      <c r="I16" s="10"/>
      <c r="J16" s="10"/>
      <c r="K16" s="10"/>
      <c r="L16" s="10"/>
      <c r="M16" s="11"/>
    </row>
    <row r="17" spans="2:13" ht="15.75" x14ac:dyDescent="0.25">
      <c r="B17" s="6" t="s">
        <v>25</v>
      </c>
      <c r="C17" s="85">
        <f>C18+C24+C32-C35+C36+C37-C40</f>
        <v>132133.1207</v>
      </c>
      <c r="D17" s="7">
        <f>D18+D24+D32-D35+D36+D37-D40</f>
        <v>3205084.7977179512</v>
      </c>
      <c r="E17" s="7">
        <f t="shared" ref="E17:M17" si="8">E18+E24+E32-E35+E36+E37-E40</f>
        <v>5749805.5552988434</v>
      </c>
      <c r="F17" s="7">
        <f t="shared" si="8"/>
        <v>9423045.8848037422</v>
      </c>
      <c r="G17" s="7">
        <f t="shared" si="8"/>
        <v>13757778.420530915</v>
      </c>
      <c r="H17" s="7">
        <f t="shared" si="8"/>
        <v>17257106.427488498</v>
      </c>
      <c r="I17" s="7">
        <f t="shared" si="8"/>
        <v>19834624.504404653</v>
      </c>
      <c r="J17" s="7">
        <f t="shared" si="8"/>
        <v>21689851.656777598</v>
      </c>
      <c r="K17" s="7">
        <f t="shared" si="8"/>
        <v>23046998.726105791</v>
      </c>
      <c r="L17" s="7">
        <f t="shared" si="8"/>
        <v>23645308.558950204</v>
      </c>
      <c r="M17" s="8">
        <f t="shared" si="8"/>
        <v>24268444.911262788</v>
      </c>
    </row>
    <row r="18" spans="2:13" ht="15.75" x14ac:dyDescent="0.25">
      <c r="B18" s="6" t="s">
        <v>80</v>
      </c>
      <c r="C18" s="85">
        <f>SUM(C19:C23)</f>
        <v>132132.54968599998</v>
      </c>
      <c r="D18" s="7">
        <f>SUM(D19:D23)</f>
        <v>592883.42272280704</v>
      </c>
      <c r="E18" s="7">
        <f>SUM(E19:E23)</f>
        <v>640726.21079016989</v>
      </c>
      <c r="F18" s="7">
        <f t="shared" ref="F18:M18" si="9">SUM(F19:F23)</f>
        <v>685006.70915567479</v>
      </c>
      <c r="G18" s="7">
        <f t="shared" si="9"/>
        <v>726761.04929292807</v>
      </c>
      <c r="H18" s="7">
        <f t="shared" si="9"/>
        <v>765295.67220146745</v>
      </c>
      <c r="I18" s="7">
        <f t="shared" si="9"/>
        <v>833236.39493718231</v>
      </c>
      <c r="J18" s="7">
        <f t="shared" si="9"/>
        <v>873637.98101392342</v>
      </c>
      <c r="K18" s="7">
        <f t="shared" si="9"/>
        <v>916380.5722920933</v>
      </c>
      <c r="L18" s="7">
        <f t="shared" si="9"/>
        <v>961383.67629818479</v>
      </c>
      <c r="M18" s="8">
        <f t="shared" si="9"/>
        <v>1010343.4081713348</v>
      </c>
    </row>
    <row r="19" spans="2:13" x14ac:dyDescent="0.2">
      <c r="B19" s="9" t="s">
        <v>77</v>
      </c>
      <c r="C19" s="75">
        <f>0.044*1.368</f>
        <v>6.0192000000000002E-2</v>
      </c>
      <c r="D19" s="10">
        <f>(((0.04884*C4)*1.368)*1.1)*[2]F!D15</f>
        <v>162135.69839565567</v>
      </c>
      <c r="E19" s="10">
        <f>(D19*1.1)*[2]F!E15</f>
        <v>189139.39896345214</v>
      </c>
      <c r="F19" s="10">
        <f>(E19*1.1)*[2]F!F15</f>
        <v>216467.01588328759</v>
      </c>
      <c r="G19" s="10">
        <f>(F19*1.1)*[2]F!G15</f>
        <v>244448.73292494871</v>
      </c>
      <c r="H19" s="10">
        <f>(G19*1.1)*[2]F!H15</f>
        <v>272643.32755614584</v>
      </c>
      <c r="I19" s="10">
        <f>(H19*1.1)*[2]F!I15</f>
        <v>302246.94006219215</v>
      </c>
      <c r="J19" s="10">
        <f>(I19*1.1)*[2]F!J15</f>
        <v>334067.49791193969</v>
      </c>
      <c r="K19" s="10">
        <f>(J19*1.1)*[2]F!K15</f>
        <v>368606.06838605931</v>
      </c>
      <c r="L19" s="10">
        <f>(K19*1.1)*[2]F!L15</f>
        <v>405892.41523365118</v>
      </c>
      <c r="M19" s="11">
        <f>(L19*1.1)*[2]F!M15</f>
        <v>446950.46249661117</v>
      </c>
    </row>
    <row r="20" spans="2:13" x14ac:dyDescent="0.2">
      <c r="B20" s="9" t="s">
        <v>81</v>
      </c>
      <c r="C20" s="75">
        <f>C4*0.0053</f>
        <v>10724.374994</v>
      </c>
      <c r="D20" s="10">
        <f>(C20*(D5*0.2))+C20</f>
        <v>14596.088854333881</v>
      </c>
      <c r="E20" s="10">
        <f t="shared" ref="E20:M20" si="10">(D20*(E5*0.2))+D20</f>
        <v>18128.342357082678</v>
      </c>
      <c r="F20" s="10">
        <f t="shared" si="10"/>
        <v>21060.783016764373</v>
      </c>
      <c r="G20" s="10">
        <f t="shared" si="10"/>
        <v>23302.071545408438</v>
      </c>
      <c r="H20" s="10">
        <f t="shared" si="10"/>
        <v>24601.86109621132</v>
      </c>
      <c r="I20" s="10">
        <f t="shared" si="10"/>
        <v>25369.439162413113</v>
      </c>
      <c r="J20" s="10">
        <f t="shared" si="10"/>
        <v>25856.532394331443</v>
      </c>
      <c r="K20" s="10">
        <f t="shared" si="10"/>
        <v>26175.084873429605</v>
      </c>
      <c r="L20" s="10">
        <f t="shared" si="10"/>
        <v>26285.020229898011</v>
      </c>
      <c r="M20" s="11">
        <f t="shared" si="10"/>
        <v>26395.417314863582</v>
      </c>
    </row>
    <row r="21" spans="2:13" x14ac:dyDescent="0.2">
      <c r="B21" s="9" t="s">
        <v>82</v>
      </c>
      <c r="C21" s="75">
        <v>9.5699999999999993E-2</v>
      </c>
      <c r="D21" s="10">
        <f>C4*C21</f>
        <v>193645.78998599999</v>
      </c>
      <c r="E21" s="10">
        <f>D21*1.025</f>
        <v>198486.93473564996</v>
      </c>
      <c r="F21" s="10">
        <f>E21*1.025</f>
        <v>203449.1081040412</v>
      </c>
      <c r="G21" s="10">
        <f t="shared" ref="G21:M21" si="11">F21*1.025</f>
        <v>208535.33580664219</v>
      </c>
      <c r="H21" s="10">
        <f t="shared" si="11"/>
        <v>213748.71920180824</v>
      </c>
      <c r="I21" s="10">
        <f>H21*1.1464</f>
        <v>245041.53169295299</v>
      </c>
      <c r="J21" s="10">
        <f t="shared" si="11"/>
        <v>251167.56998527679</v>
      </c>
      <c r="K21" s="10">
        <f t="shared" si="11"/>
        <v>257446.75923490868</v>
      </c>
      <c r="L21" s="10">
        <f t="shared" si="11"/>
        <v>263882.92821578134</v>
      </c>
      <c r="M21" s="11">
        <f t="shared" si="11"/>
        <v>270480.00142117584</v>
      </c>
    </row>
    <row r="22" spans="2:13" x14ac:dyDescent="0.2">
      <c r="B22" s="9" t="s">
        <v>78</v>
      </c>
      <c r="C22" s="75">
        <v>0</v>
      </c>
      <c r="D22" s="10">
        <f>-[2]Imobilizado!D15</f>
        <v>28053.926895348752</v>
      </c>
      <c r="E22" s="10">
        <f>-[2]Imobilizado!E15</f>
        <v>28755.275067732469</v>
      </c>
      <c r="F22" s="10">
        <f>-[2]Imobilizado!F15</f>
        <v>29474.156944425773</v>
      </c>
      <c r="G22" s="10">
        <f>-[2]Imobilizado!G15</f>
        <v>30211.01086803641</v>
      </c>
      <c r="H22" s="10">
        <f>-[2]Imobilizado!H15</f>
        <v>30966.286139737316</v>
      </c>
      <c r="I22" s="10">
        <f>-[2]Imobilizado!I15</f>
        <v>35500.989082040447</v>
      </c>
      <c r="J22" s="10">
        <f>-[2]Imobilizado!J15</f>
        <v>36388.513809091462</v>
      </c>
      <c r="K22" s="10">
        <f>-[2]Imobilizado!K15</f>
        <v>37298.226654318743</v>
      </c>
      <c r="L22" s="10">
        <f>-[2]Imobilizado!L15</f>
        <v>38230.682320676708</v>
      </c>
      <c r="M22" s="11">
        <f>-[2]Imobilizado!M15</f>
        <v>39186.449378693622</v>
      </c>
    </row>
    <row r="23" spans="2:13" x14ac:dyDescent="0.2">
      <c r="B23" s="9" t="s">
        <v>75</v>
      </c>
      <c r="C23" s="75">
        <f>C4*0.06</f>
        <v>121408.01879999999</v>
      </c>
      <c r="D23" s="10">
        <f>(C23*(D5*0.3333))+C23</f>
        <v>194451.91859146877</v>
      </c>
      <c r="E23" s="10">
        <f>(D23*(E5*0.05))+D23</f>
        <v>206216.25966625262</v>
      </c>
      <c r="F23" s="10">
        <f t="shared" ref="F23:M23" si="12">(E23*(F5*0.05))+E23</f>
        <v>214555.64520715587</v>
      </c>
      <c r="G23" s="10">
        <f t="shared" si="12"/>
        <v>220263.89814789227</v>
      </c>
      <c r="H23" s="10">
        <f t="shared" si="12"/>
        <v>223335.47820756462</v>
      </c>
      <c r="I23" s="10">
        <f t="shared" si="12"/>
        <v>225077.49493758363</v>
      </c>
      <c r="J23" s="10">
        <f t="shared" si="12"/>
        <v>226157.86691328403</v>
      </c>
      <c r="K23" s="10">
        <f t="shared" si="12"/>
        <v>226854.43314337695</v>
      </c>
      <c r="L23" s="10">
        <f t="shared" si="12"/>
        <v>227092.63029817751</v>
      </c>
      <c r="M23" s="11">
        <f t="shared" si="12"/>
        <v>227331.0775599906</v>
      </c>
    </row>
    <row r="24" spans="2:13" ht="15.75" x14ac:dyDescent="0.25">
      <c r="B24" s="77" t="s">
        <v>83</v>
      </c>
      <c r="C24" s="85">
        <f>SUM(C25:C31)</f>
        <v>0.56362400000000012</v>
      </c>
      <c r="D24" s="7">
        <f>SUM(D25:D31)</f>
        <v>2569334.3741663718</v>
      </c>
      <c r="E24" s="7">
        <f t="shared" ref="E24:M24" si="13">SUM(E25:E31)</f>
        <v>5042387.2761607263</v>
      </c>
      <c r="F24" s="7">
        <f t="shared" si="13"/>
        <v>8637496.833710609</v>
      </c>
      <c r="G24" s="7">
        <f t="shared" si="13"/>
        <v>12890856.54987248</v>
      </c>
      <c r="H24" s="7">
        <f t="shared" si="13"/>
        <v>16320081.425120996</v>
      </c>
      <c r="I24" s="7">
        <f t="shared" si="13"/>
        <v>18807152.851363186</v>
      </c>
      <c r="J24" s="7">
        <f t="shared" si="13"/>
        <v>20605995.041549586</v>
      </c>
      <c r="K24" s="7">
        <f t="shared" si="13"/>
        <v>21909169.769726034</v>
      </c>
      <c r="L24" s="7">
        <f t="shared" si="13"/>
        <v>22458414.740866728</v>
      </c>
      <c r="M24" s="8">
        <f t="shared" si="13"/>
        <v>23028445.126787119</v>
      </c>
    </row>
    <row r="25" spans="2:13" x14ac:dyDescent="0.2">
      <c r="B25" s="9" t="s">
        <v>77</v>
      </c>
      <c r="C25" s="75">
        <f>0.1055*1.368</f>
        <v>0.14432400000000001</v>
      </c>
      <c r="D25" s="10">
        <f>(((C4*0.1172)*1.368)*1.1)*[2]F!D19</f>
        <v>421281.30421505804</v>
      </c>
      <c r="E25" s="10">
        <f>(D25*1.1)*[2]F!E19</f>
        <v>519481.97622758808</v>
      </c>
      <c r="F25" s="10">
        <f>(E25*1.1)*[2]F!F19</f>
        <v>617647.44631136302</v>
      </c>
      <c r="G25" s="10">
        <f>(F25*1.1)*[2]F!G19</f>
        <v>715563.71362254967</v>
      </c>
      <c r="H25" s="10">
        <f>(G25*1.1)*[2]F!H19</f>
        <v>809072.86415503093</v>
      </c>
      <c r="I25" s="10">
        <f>(H25*1.1)*[2]F!I19</f>
        <v>903863.84091943444</v>
      </c>
      <c r="J25" s="10">
        <f>(I25*1.1)*[2]F!J19</f>
        <v>1003795.0271714872</v>
      </c>
      <c r="K25" s="10">
        <f>(J25*1.1)*[2]F!K19</f>
        <v>1110976.24499275</v>
      </c>
      <c r="L25" s="10">
        <f>(K25*1.1)*[2]F!L19</f>
        <v>1224640.2246179583</v>
      </c>
      <c r="M25" s="11">
        <f>(L25*1.1)*[2]F!M19</f>
        <v>1349933.1659986216</v>
      </c>
    </row>
    <row r="26" spans="2:13" x14ac:dyDescent="0.2">
      <c r="B26" s="78" t="s">
        <v>84</v>
      </c>
      <c r="C26" s="75">
        <v>2.81E-2</v>
      </c>
      <c r="D26" s="10">
        <f t="shared" ref="D26:M26" si="14">$C$26*D4</f>
        <v>159496.36503930381</v>
      </c>
      <c r="E26" s="10">
        <f t="shared" si="14"/>
        <v>352486.96673686139</v>
      </c>
      <c r="F26" s="10">
        <f t="shared" si="14"/>
        <v>637578.42543363478</v>
      </c>
      <c r="G26" s="10">
        <f t="shared" si="14"/>
        <v>976833.90560687194</v>
      </c>
      <c r="H26" s="10">
        <f t="shared" si="14"/>
        <v>1249272.8818806286</v>
      </c>
      <c r="I26" s="10">
        <f t="shared" si="14"/>
        <v>1444159.4514540066</v>
      </c>
      <c r="J26" s="10">
        <f t="shared" si="14"/>
        <v>1582798.7587935911</v>
      </c>
      <c r="K26" s="10">
        <f t="shared" si="14"/>
        <v>1680299.1623352764</v>
      </c>
      <c r="L26" s="10">
        <f t="shared" si="14"/>
        <v>1715585.4447443171</v>
      </c>
      <c r="M26" s="11">
        <f t="shared" si="14"/>
        <v>1751612.7390839478</v>
      </c>
    </row>
    <row r="27" spans="2:13" x14ac:dyDescent="0.2">
      <c r="B27" s="78" t="s">
        <v>85</v>
      </c>
      <c r="C27" s="75">
        <v>3.4000000000000002E-2</v>
      </c>
      <c r="D27" s="10">
        <f>D4*0.034</f>
        <v>192984.92567033201</v>
      </c>
      <c r="E27" s="10">
        <f>E4*0.034</f>
        <v>426496.68573143374</v>
      </c>
      <c r="F27" s="10">
        <f>F4*0.034</f>
        <v>771447.20515101729</v>
      </c>
      <c r="G27" s="10">
        <f t="shared" ref="G27:M27" si="15">G4*0.034</f>
        <v>1181934.2630118735</v>
      </c>
      <c r="H27" s="10">
        <f t="shared" si="15"/>
        <v>1511575.7289658852</v>
      </c>
      <c r="I27" s="10">
        <f t="shared" si="15"/>
        <v>1747381.5426845632</v>
      </c>
      <c r="J27" s="10">
        <f t="shared" si="15"/>
        <v>1915130.1707822813</v>
      </c>
      <c r="K27" s="10">
        <f t="shared" si="15"/>
        <v>2033102.1893024698</v>
      </c>
      <c r="L27" s="10">
        <f t="shared" si="15"/>
        <v>2075797.3352778216</v>
      </c>
      <c r="M27" s="11">
        <f t="shared" si="15"/>
        <v>2119389.0793186557</v>
      </c>
    </row>
    <row r="28" spans="2:13" x14ac:dyDescent="0.2">
      <c r="B28" s="78" t="s">
        <v>86</v>
      </c>
      <c r="C28" s="75">
        <v>8.6E-3</v>
      </c>
      <c r="D28" s="10">
        <f t="shared" ref="D28" si="16">(D4*0.01)+((D5*0.05)*(D4*0.01))</f>
        <v>61883.170628443477</v>
      </c>
      <c r="E28" s="10">
        <f>D28*((E5*0.2)+1)</f>
        <v>76858.897920526797</v>
      </c>
      <c r="F28" s="10">
        <f t="shared" ref="F28:M28" si="17">E28*((F5*0.2)+1)</f>
        <v>89291.593248151228</v>
      </c>
      <c r="G28" s="10">
        <f t="shared" si="17"/>
        <v>98794.004601619483</v>
      </c>
      <c r="H28" s="10">
        <f t="shared" si="17"/>
        <v>104304.73417829782</v>
      </c>
      <c r="I28" s="10">
        <f t="shared" si="17"/>
        <v>107559.04188466071</v>
      </c>
      <c r="J28" s="10">
        <f t="shared" si="17"/>
        <v>109624.1754888462</v>
      </c>
      <c r="K28" s="10">
        <f t="shared" si="17"/>
        <v>110974.7453308688</v>
      </c>
      <c r="L28" s="10">
        <f t="shared" si="17"/>
        <v>111440.83926125844</v>
      </c>
      <c r="M28" s="11">
        <f t="shared" si="17"/>
        <v>111908.89078615572</v>
      </c>
    </row>
    <row r="29" spans="2:13" x14ac:dyDescent="0.2">
      <c r="B29" s="78" t="s">
        <v>81</v>
      </c>
      <c r="C29" s="75">
        <v>4.6600000000000003E-2</v>
      </c>
      <c r="D29" s="10">
        <f>(C4*C29)*1.025</f>
        <v>96650.900299699992</v>
      </c>
      <c r="E29" s="10">
        <f>D29*1.025</f>
        <v>99067.172807192488</v>
      </c>
      <c r="F29" s="10">
        <f t="shared" ref="F29:M29" si="18">E29*1.025</f>
        <v>101543.85212737229</v>
      </c>
      <c r="G29" s="10">
        <f t="shared" si="18"/>
        <v>104082.44843055659</v>
      </c>
      <c r="H29" s="10">
        <f t="shared" si="18"/>
        <v>106684.50964132049</v>
      </c>
      <c r="I29" s="10">
        <f t="shared" si="18"/>
        <v>109351.6223823535</v>
      </c>
      <c r="J29" s="10">
        <f t="shared" si="18"/>
        <v>112085.41294191232</v>
      </c>
      <c r="K29" s="10">
        <f t="shared" si="18"/>
        <v>114887.54826546012</v>
      </c>
      <c r="L29" s="10">
        <f t="shared" si="18"/>
        <v>117759.73697209661</v>
      </c>
      <c r="M29" s="11">
        <f t="shared" si="18"/>
        <v>120703.73039639901</v>
      </c>
    </row>
    <row r="30" spans="2:13" x14ac:dyDescent="0.2">
      <c r="B30" s="78" t="s">
        <v>78</v>
      </c>
      <c r="C30" s="75">
        <v>2.1000000000000001E-2</v>
      </c>
      <c r="D30" s="10">
        <f>-[2]Imobilizado!D16</f>
        <v>42074.057920496249</v>
      </c>
      <c r="E30" s="10">
        <f>-[2]Imobilizado!E16</f>
        <v>43125.909368508655</v>
      </c>
      <c r="F30" s="10">
        <f>-[2]Imobilizado!F16</f>
        <v>44204.057102721359</v>
      </c>
      <c r="G30" s="10">
        <f>-[2]Imobilizado!G16</f>
        <v>45309.158530289387</v>
      </c>
      <c r="H30" s="10">
        <f>-[2]Imobilizado!H16</f>
        <v>46441.887493546616</v>
      </c>
      <c r="I30" s="10">
        <f>-[2]Imobilizado!I16</f>
        <v>53242.83749810158</v>
      </c>
      <c r="J30" s="10">
        <f>-[2]Imobilizado!J16</f>
        <v>54573.90843555412</v>
      </c>
      <c r="K30" s="10">
        <f>-[2]Imobilizado!K16</f>
        <v>55938.25614644296</v>
      </c>
      <c r="L30" s="10">
        <f>-[2]Imobilizado!L16</f>
        <v>57336.712550104035</v>
      </c>
      <c r="M30" s="11">
        <f>-[2]Imobilizado!M16</f>
        <v>58770.130363856631</v>
      </c>
    </row>
    <row r="31" spans="2:13" x14ac:dyDescent="0.2">
      <c r="B31" s="78" t="s">
        <v>75</v>
      </c>
      <c r="C31" s="75">
        <v>0.28100000000000003</v>
      </c>
      <c r="D31" s="10">
        <f t="shared" ref="D31:M31" si="19">D4*$C$31</f>
        <v>1594963.6503930381</v>
      </c>
      <c r="E31" s="10">
        <f t="shared" si="19"/>
        <v>3524869.6673686146</v>
      </c>
      <c r="F31" s="10">
        <f t="shared" si="19"/>
        <v>6375784.2543363487</v>
      </c>
      <c r="G31" s="10">
        <f t="shared" si="19"/>
        <v>9768339.0560687203</v>
      </c>
      <c r="H31" s="10">
        <f t="shared" si="19"/>
        <v>12492728.818806287</v>
      </c>
      <c r="I31" s="10">
        <f t="shared" si="19"/>
        <v>14441594.514540067</v>
      </c>
      <c r="J31" s="10">
        <f t="shared" si="19"/>
        <v>15827987.587935913</v>
      </c>
      <c r="K31" s="10">
        <f t="shared" si="19"/>
        <v>16802991.623352766</v>
      </c>
      <c r="L31" s="10">
        <f t="shared" si="19"/>
        <v>17155854.447443172</v>
      </c>
      <c r="M31" s="11">
        <f t="shared" si="19"/>
        <v>17516127.39083948</v>
      </c>
    </row>
    <row r="32" spans="2:13" ht="15.75" x14ac:dyDescent="0.25">
      <c r="B32" s="6" t="s">
        <v>87</v>
      </c>
      <c r="C32" s="85">
        <f>SUM(C33:C34)</f>
        <v>1.5E-3</v>
      </c>
      <c r="D32" s="7">
        <f>SUM(D33:D34)</f>
        <v>3035.2004699999998</v>
      </c>
      <c r="E32" s="7">
        <f t="shared" ref="E32:M32" si="20">SUM(E33:E34)</f>
        <v>3035.2004699999998</v>
      </c>
      <c r="F32" s="7">
        <f t="shared" si="20"/>
        <v>3035.2004699999998</v>
      </c>
      <c r="G32" s="7">
        <f t="shared" si="20"/>
        <v>3035.2004699999998</v>
      </c>
      <c r="H32" s="7">
        <f t="shared" si="20"/>
        <v>3035.2004699999998</v>
      </c>
      <c r="I32" s="7">
        <f t="shared" si="20"/>
        <v>3035.2004699999998</v>
      </c>
      <c r="J32" s="7">
        <f t="shared" si="20"/>
        <v>3035.2004699999998</v>
      </c>
      <c r="K32" s="7">
        <f t="shared" si="20"/>
        <v>3035.2004699999998</v>
      </c>
      <c r="L32" s="7">
        <f t="shared" si="20"/>
        <v>3035.2004699999998</v>
      </c>
      <c r="M32" s="8">
        <f t="shared" si="20"/>
        <v>3035.2004699999998</v>
      </c>
    </row>
    <row r="33" spans="2:13" x14ac:dyDescent="0.2">
      <c r="B33" s="78" t="s">
        <v>88</v>
      </c>
      <c r="C33" s="75">
        <v>4.0000000000000002E-4</v>
      </c>
      <c r="D33" s="10">
        <f>C4*C33</f>
        <v>809.38679200000001</v>
      </c>
      <c r="E33" s="10">
        <f>D33</f>
        <v>809.38679200000001</v>
      </c>
      <c r="F33" s="10">
        <f t="shared" ref="F33:M34" si="21">E33</f>
        <v>809.38679200000001</v>
      </c>
      <c r="G33" s="10">
        <f t="shared" si="21"/>
        <v>809.38679200000001</v>
      </c>
      <c r="H33" s="10">
        <f t="shared" si="21"/>
        <v>809.38679200000001</v>
      </c>
      <c r="I33" s="10">
        <f t="shared" si="21"/>
        <v>809.38679200000001</v>
      </c>
      <c r="J33" s="10">
        <f t="shared" si="21"/>
        <v>809.38679200000001</v>
      </c>
      <c r="K33" s="10">
        <f t="shared" si="21"/>
        <v>809.38679200000001</v>
      </c>
      <c r="L33" s="10">
        <f t="shared" si="21"/>
        <v>809.38679200000001</v>
      </c>
      <c r="M33" s="11">
        <f t="shared" si="21"/>
        <v>809.38679200000001</v>
      </c>
    </row>
    <row r="34" spans="2:13" x14ac:dyDescent="0.2">
      <c r="B34" s="9" t="s">
        <v>89</v>
      </c>
      <c r="C34" s="75">
        <v>1.1000000000000001E-3</v>
      </c>
      <c r="D34" s="10">
        <f>C4*C34</f>
        <v>2225.813678</v>
      </c>
      <c r="E34" s="10">
        <f>D34</f>
        <v>2225.813678</v>
      </c>
      <c r="F34" s="10">
        <f t="shared" si="21"/>
        <v>2225.813678</v>
      </c>
      <c r="G34" s="10">
        <f t="shared" si="21"/>
        <v>2225.813678</v>
      </c>
      <c r="H34" s="10">
        <f t="shared" si="21"/>
        <v>2225.813678</v>
      </c>
      <c r="I34" s="10">
        <f t="shared" si="21"/>
        <v>2225.813678</v>
      </c>
      <c r="J34" s="10">
        <f t="shared" si="21"/>
        <v>2225.813678</v>
      </c>
      <c r="K34" s="10">
        <f t="shared" si="21"/>
        <v>2225.813678</v>
      </c>
      <c r="L34" s="10">
        <f t="shared" si="21"/>
        <v>2225.813678</v>
      </c>
      <c r="M34" s="11">
        <f t="shared" si="21"/>
        <v>2225.813678</v>
      </c>
    </row>
    <row r="35" spans="2:13" ht="15.75" x14ac:dyDescent="0.25">
      <c r="B35" s="6" t="s">
        <v>90</v>
      </c>
      <c r="C35" s="85">
        <v>1.8E-3</v>
      </c>
      <c r="D35" s="7">
        <f t="shared" ref="D35:M35" si="22">D4*$C$35</f>
        <v>10216.8490060764</v>
      </c>
      <c r="E35" s="7">
        <f t="shared" si="22"/>
        <v>22579.236303428843</v>
      </c>
      <c r="F35" s="7">
        <f t="shared" si="22"/>
        <v>40841.322625642089</v>
      </c>
      <c r="G35" s="7">
        <f t="shared" si="22"/>
        <v>62572.990394746237</v>
      </c>
      <c r="H35" s="7">
        <f t="shared" si="22"/>
        <v>80024.597415840966</v>
      </c>
      <c r="I35" s="7">
        <f t="shared" si="22"/>
        <v>92508.434612712168</v>
      </c>
      <c r="J35" s="7">
        <f t="shared" si="22"/>
        <v>101389.24433553252</v>
      </c>
      <c r="K35" s="7">
        <f t="shared" si="22"/>
        <v>107634.82178660133</v>
      </c>
      <c r="L35" s="7">
        <f t="shared" si="22"/>
        <v>109895.15304411996</v>
      </c>
      <c r="M35" s="8">
        <f t="shared" si="22"/>
        <v>112202.95125804647</v>
      </c>
    </row>
    <row r="36" spans="2:13" ht="15.75" x14ac:dyDescent="0.25">
      <c r="B36" s="6" t="s">
        <v>91</v>
      </c>
      <c r="C36" s="85">
        <v>5.0000000000000001E-3</v>
      </c>
      <c r="D36" s="7">
        <f t="shared" ref="D36:M36" si="23">D4*$C$36</f>
        <v>28380.136127990001</v>
      </c>
      <c r="E36" s="7">
        <f t="shared" si="23"/>
        <v>62720.100842857901</v>
      </c>
      <c r="F36" s="7">
        <f t="shared" si="23"/>
        <v>113448.11840456136</v>
      </c>
      <c r="G36" s="7">
        <f t="shared" si="23"/>
        <v>173813.86220762847</v>
      </c>
      <c r="H36" s="7">
        <f t="shared" si="23"/>
        <v>222290.54837733603</v>
      </c>
      <c r="I36" s="7">
        <f t="shared" si="23"/>
        <v>256967.87392420045</v>
      </c>
      <c r="J36" s="7">
        <f t="shared" si="23"/>
        <v>281636.7898209237</v>
      </c>
      <c r="K36" s="7">
        <f t="shared" si="23"/>
        <v>298985.61607389263</v>
      </c>
      <c r="L36" s="7">
        <f t="shared" si="23"/>
        <v>305264.31401144434</v>
      </c>
      <c r="M36" s="8">
        <f t="shared" si="23"/>
        <v>311674.86460568465</v>
      </c>
    </row>
    <row r="37" spans="2:13" ht="15.75" x14ac:dyDescent="0.25">
      <c r="B37" s="6" t="s">
        <v>28</v>
      </c>
      <c r="C37" s="85">
        <f>SUM(C38:C39)</f>
        <v>2.6900000000000001E-3</v>
      </c>
      <c r="D37" s="7">
        <f>SUM(D38:D39)</f>
        <v>21668.51323685862</v>
      </c>
      <c r="E37" s="7">
        <f t="shared" ref="E37:M37" si="24">SUM(E38:E39)</f>
        <v>23516.003338518512</v>
      </c>
      <c r="F37" s="7">
        <f t="shared" si="24"/>
        <v>24900.345688537891</v>
      </c>
      <c r="G37" s="7">
        <f t="shared" si="24"/>
        <v>25884.749082624992</v>
      </c>
      <c r="H37" s="7">
        <f t="shared" si="24"/>
        <v>26428.178734539404</v>
      </c>
      <c r="I37" s="7">
        <f t="shared" si="24"/>
        <v>26740.618322798218</v>
      </c>
      <c r="J37" s="7">
        <f t="shared" si="24"/>
        <v>26935.888258697079</v>
      </c>
      <c r="K37" s="7">
        <f t="shared" si="24"/>
        <v>27062.389330370654</v>
      </c>
      <c r="L37" s="7">
        <f t="shared" si="24"/>
        <v>27105.780347964432</v>
      </c>
      <c r="M37" s="8">
        <f t="shared" si="24"/>
        <v>27149.262486695156</v>
      </c>
    </row>
    <row r="38" spans="2:13" x14ac:dyDescent="0.2">
      <c r="B38" s="9" t="s">
        <v>92</v>
      </c>
      <c r="C38" s="75"/>
      <c r="D38" s="10">
        <v>6400</v>
      </c>
      <c r="E38" s="10">
        <v>6400</v>
      </c>
      <c r="F38" s="10">
        <v>6400</v>
      </c>
      <c r="G38" s="10">
        <v>6400</v>
      </c>
      <c r="H38" s="10">
        <v>6400</v>
      </c>
      <c r="I38" s="10">
        <v>6400</v>
      </c>
      <c r="J38" s="10">
        <v>6400</v>
      </c>
      <c r="K38" s="10">
        <v>6400</v>
      </c>
      <c r="L38" s="10">
        <v>6400</v>
      </c>
      <c r="M38" s="11">
        <v>6400</v>
      </c>
    </row>
    <row r="39" spans="2:13" x14ac:dyDescent="0.2">
      <c r="B39" s="9" t="s">
        <v>93</v>
      </c>
      <c r="C39" s="75">
        <v>2.6900000000000001E-3</v>
      </c>
      <c r="D39" s="10">
        <f>D4*$C$39</f>
        <v>15268.51323685862</v>
      </c>
      <c r="E39" s="10">
        <f>(D39*(E5*0.1))+D39</f>
        <v>17116.003338518512</v>
      </c>
      <c r="F39" s="10">
        <f t="shared" ref="F39:M39" si="25">(E39*(F5*0.1))+E39</f>
        <v>18500.345688537891</v>
      </c>
      <c r="G39" s="10">
        <f t="shared" si="25"/>
        <v>19484.749082624992</v>
      </c>
      <c r="H39" s="10">
        <f t="shared" si="25"/>
        <v>20028.178734539404</v>
      </c>
      <c r="I39" s="10">
        <f t="shared" si="25"/>
        <v>20340.618322798218</v>
      </c>
      <c r="J39" s="10">
        <f t="shared" si="25"/>
        <v>20535.888258697079</v>
      </c>
      <c r="K39" s="10">
        <f t="shared" si="25"/>
        <v>20662.389330370654</v>
      </c>
      <c r="L39" s="10">
        <f t="shared" si="25"/>
        <v>20705.780347964432</v>
      </c>
      <c r="M39" s="11">
        <f t="shared" si="25"/>
        <v>20749.262486695156</v>
      </c>
    </row>
    <row r="40" spans="2:13" ht="15.75" x14ac:dyDescent="0.25">
      <c r="B40" s="6" t="s">
        <v>94</v>
      </c>
      <c r="C40" s="85"/>
      <c r="D40" s="7">
        <v>0</v>
      </c>
      <c r="E40" s="7">
        <v>0</v>
      </c>
      <c r="F40" s="7">
        <v>0</v>
      </c>
      <c r="G40" s="7">
        <v>0</v>
      </c>
      <c r="H40" s="7">
        <v>0</v>
      </c>
      <c r="I40" s="7">
        <v>0</v>
      </c>
      <c r="J40" s="7">
        <v>0</v>
      </c>
      <c r="K40" s="7">
        <v>0</v>
      </c>
      <c r="L40" s="7">
        <v>0</v>
      </c>
      <c r="M40" s="8">
        <v>0</v>
      </c>
    </row>
    <row r="41" spans="2:13" ht="15.75" x14ac:dyDescent="0.25">
      <c r="B41" s="9"/>
      <c r="C41" s="85"/>
      <c r="D41" s="7"/>
      <c r="E41" s="7"/>
      <c r="F41" s="7"/>
      <c r="G41" s="7"/>
      <c r="H41" s="7"/>
      <c r="I41" s="7"/>
      <c r="J41" s="7"/>
      <c r="K41" s="7"/>
      <c r="L41" s="7"/>
      <c r="M41" s="8"/>
    </row>
    <row r="42" spans="2:13" ht="15.75" x14ac:dyDescent="0.25">
      <c r="B42" s="6" t="s">
        <v>95</v>
      </c>
      <c r="C42" s="85">
        <f>C15-C17</f>
        <v>1891333.4416544</v>
      </c>
      <c r="D42" s="7">
        <f>D15-D17</f>
        <v>433126.47526533902</v>
      </c>
      <c r="E42" s="7">
        <f t="shared" ref="E42:M42" si="26">E15-E17</f>
        <v>2628585.8458829969</v>
      </c>
      <c r="F42" s="7">
        <f t="shared" si="26"/>
        <v>6007948.6181405243</v>
      </c>
      <c r="G42" s="7">
        <f t="shared" si="26"/>
        <v>10088394.05517114</v>
      </c>
      <c r="H42" s="7">
        <f t="shared" si="26"/>
        <v>13334650.230390199</v>
      </c>
      <c r="I42" s="7">
        <f t="shared" si="26"/>
        <v>15546577.447647642</v>
      </c>
      <c r="J42" s="7">
        <f t="shared" si="26"/>
        <v>17072329.265830673</v>
      </c>
      <c r="K42" s="7">
        <f t="shared" si="26"/>
        <v>18056023.709992904</v>
      </c>
      <c r="L42" s="7">
        <f t="shared" si="26"/>
        <v>18230787.283294771</v>
      </c>
      <c r="M42" s="8">
        <f t="shared" si="26"/>
        <v>18387561.8224966</v>
      </c>
    </row>
    <row r="43" spans="2:13" x14ac:dyDescent="0.2">
      <c r="B43" s="9"/>
      <c r="C43" s="75"/>
      <c r="D43" s="10"/>
      <c r="E43" s="10"/>
      <c r="F43" s="10"/>
      <c r="G43" s="10"/>
      <c r="H43" s="10"/>
      <c r="I43" s="10"/>
      <c r="J43" s="10"/>
      <c r="K43" s="10"/>
      <c r="L43" s="10"/>
      <c r="M43" s="11"/>
    </row>
    <row r="44" spans="2:13" ht="15.75" x14ac:dyDescent="0.25">
      <c r="B44" s="6" t="s">
        <v>96</v>
      </c>
      <c r="C44" s="85">
        <f>C45+C46</f>
        <v>0.33999999999999997</v>
      </c>
      <c r="D44" s="7">
        <f>D45+D46</f>
        <v>0</v>
      </c>
      <c r="E44" s="7">
        <f t="shared" ref="E44:M44" si="27">E45+E46</f>
        <v>0</v>
      </c>
      <c r="F44" s="7">
        <f t="shared" si="27"/>
        <v>0</v>
      </c>
      <c r="G44" s="7">
        <f t="shared" si="27"/>
        <v>0</v>
      </c>
      <c r="H44" s="7">
        <f t="shared" si="27"/>
        <v>0</v>
      </c>
      <c r="I44" s="7">
        <f t="shared" si="27"/>
        <v>0</v>
      </c>
      <c r="J44" s="7">
        <f t="shared" si="27"/>
        <v>0</v>
      </c>
      <c r="K44" s="7">
        <f t="shared" si="27"/>
        <v>0</v>
      </c>
      <c r="L44" s="7">
        <f t="shared" si="27"/>
        <v>0</v>
      </c>
      <c r="M44" s="8">
        <f t="shared" si="27"/>
        <v>0</v>
      </c>
    </row>
    <row r="45" spans="2:13" x14ac:dyDescent="0.2">
      <c r="B45" s="9" t="s">
        <v>97</v>
      </c>
      <c r="C45" s="75">
        <v>0.09</v>
      </c>
      <c r="D45" s="10"/>
      <c r="E45" s="10"/>
      <c r="F45" s="10"/>
      <c r="G45" s="10"/>
      <c r="H45" s="10"/>
      <c r="I45" s="10"/>
      <c r="J45" s="10"/>
      <c r="K45" s="10"/>
      <c r="L45" s="10"/>
      <c r="M45" s="11"/>
    </row>
    <row r="46" spans="2:13" x14ac:dyDescent="0.2">
      <c r="B46" s="9" t="s">
        <v>98</v>
      </c>
      <c r="C46" s="75">
        <v>0.25</v>
      </c>
      <c r="D46" s="10"/>
      <c r="E46" s="10"/>
      <c r="F46" s="10"/>
      <c r="G46" s="10"/>
      <c r="H46" s="10"/>
      <c r="I46" s="10"/>
      <c r="J46" s="10"/>
      <c r="K46" s="10"/>
      <c r="L46" s="10"/>
      <c r="M46" s="11"/>
    </row>
    <row r="47" spans="2:13" x14ac:dyDescent="0.2">
      <c r="B47" s="9"/>
      <c r="C47" s="75"/>
      <c r="D47" s="10"/>
      <c r="E47" s="10"/>
      <c r="F47" s="10"/>
      <c r="G47" s="10"/>
      <c r="H47" s="10"/>
      <c r="I47" s="10"/>
      <c r="J47" s="10"/>
      <c r="K47" s="10"/>
      <c r="L47" s="10"/>
      <c r="M47" s="11"/>
    </row>
    <row r="48" spans="2:13" ht="15.75" x14ac:dyDescent="0.25">
      <c r="B48" s="12" t="s">
        <v>99</v>
      </c>
      <c r="C48" s="86">
        <f>C42-C44</f>
        <v>1891333.1016543999</v>
      </c>
      <c r="D48" s="13">
        <f>D42-D44</f>
        <v>433126.47526533902</v>
      </c>
      <c r="E48" s="13">
        <f t="shared" ref="E48:M48" si="28">E42-E44</f>
        <v>2628585.8458829969</v>
      </c>
      <c r="F48" s="13">
        <f t="shared" si="28"/>
        <v>6007948.6181405243</v>
      </c>
      <c r="G48" s="13">
        <f t="shared" si="28"/>
        <v>10088394.05517114</v>
      </c>
      <c r="H48" s="13">
        <f t="shared" si="28"/>
        <v>13334650.230390199</v>
      </c>
      <c r="I48" s="13">
        <f t="shared" si="28"/>
        <v>15546577.447647642</v>
      </c>
      <c r="J48" s="13">
        <f t="shared" si="28"/>
        <v>17072329.265830673</v>
      </c>
      <c r="K48" s="13">
        <f t="shared" si="28"/>
        <v>18056023.709992904</v>
      </c>
      <c r="L48" s="13">
        <f t="shared" si="28"/>
        <v>18230787.283294771</v>
      </c>
      <c r="M48" s="14">
        <f t="shared" si="28"/>
        <v>18387561.8224966</v>
      </c>
    </row>
  </sheetData>
  <mergeCells count="1">
    <mergeCell ref="B2:M2"/>
  </mergeCells>
  <pageMargins left="0.511811024" right="0.511811024" top="0.78740157499999996" bottom="0.78740157499999996" header="0.31496062000000002" footer="0.31496062000000002"/>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6"/>
  <sheetViews>
    <sheetView workbookViewId="0">
      <selection activeCell="D18" sqref="D18"/>
    </sheetView>
  </sheetViews>
  <sheetFormatPr defaultRowHeight="15.75" x14ac:dyDescent="0.25"/>
  <cols>
    <col min="1" max="1" width="3.5703125" style="89" customWidth="1"/>
    <col min="2" max="2" width="47.5703125" style="48" bestFit="1" customWidth="1"/>
    <col min="3" max="3" width="14.28515625" style="48" bestFit="1" customWidth="1"/>
    <col min="4" max="6" width="16.140625" style="48" bestFit="1" customWidth="1"/>
    <col min="7" max="13" width="17.5703125" style="48" bestFit="1" customWidth="1"/>
    <col min="14" max="16384" width="9.140625" style="89"/>
  </cols>
  <sheetData>
    <row r="2" spans="2:13" x14ac:dyDescent="0.25">
      <c r="B2" s="181" t="s">
        <v>100</v>
      </c>
      <c r="C2" s="182"/>
      <c r="D2" s="182"/>
      <c r="E2" s="182"/>
      <c r="F2" s="182"/>
      <c r="G2" s="182"/>
      <c r="H2" s="182"/>
      <c r="I2" s="182"/>
      <c r="J2" s="182"/>
      <c r="K2" s="182"/>
      <c r="L2" s="182"/>
      <c r="M2" s="183"/>
    </row>
    <row r="3" spans="2:13" x14ac:dyDescent="0.25">
      <c r="B3" s="15" t="s">
        <v>101</v>
      </c>
      <c r="C3" s="16" t="s">
        <v>59</v>
      </c>
      <c r="D3" s="81" t="s">
        <v>60</v>
      </c>
      <c r="E3" s="81" t="s">
        <v>61</v>
      </c>
      <c r="F3" s="81" t="s">
        <v>62</v>
      </c>
      <c r="G3" s="81" t="s">
        <v>63</v>
      </c>
      <c r="H3" s="81" t="s">
        <v>64</v>
      </c>
      <c r="I3" s="81" t="s">
        <v>65</v>
      </c>
      <c r="J3" s="81" t="s">
        <v>66</v>
      </c>
      <c r="K3" s="81" t="s">
        <v>67</v>
      </c>
      <c r="L3" s="81" t="s">
        <v>68</v>
      </c>
      <c r="M3" s="82" t="s">
        <v>69</v>
      </c>
    </row>
    <row r="4" spans="2:13" x14ac:dyDescent="0.25">
      <c r="B4" s="6" t="s">
        <v>36</v>
      </c>
      <c r="C4" s="7">
        <f>SUM(C5:C7)</f>
        <v>812283</v>
      </c>
      <c r="D4" s="7">
        <f t="shared" ref="D4:M4" si="0">SUM(D5:D7)</f>
        <v>2278535.0433</v>
      </c>
      <c r="E4" s="7">
        <f t="shared" si="0"/>
        <v>5035562.4456929993</v>
      </c>
      <c r="F4" s="7">
        <f t="shared" si="0"/>
        <v>9108325.3517694976</v>
      </c>
      <c r="G4" s="7">
        <f t="shared" si="0"/>
        <v>13954865.271446045</v>
      </c>
      <c r="H4" s="7">
        <f t="shared" si="0"/>
        <v>17846877.195652347</v>
      </c>
      <c r="I4" s="7">
        <f t="shared" si="0"/>
        <v>20630990.038174115</v>
      </c>
      <c r="J4" s="7">
        <f t="shared" si="0"/>
        <v>22611565.081838831</v>
      </c>
      <c r="K4" s="7">
        <f t="shared" si="0"/>
        <v>24004437.490880102</v>
      </c>
      <c r="L4" s="7">
        <f t="shared" si="0"/>
        <v>24508530.678188585</v>
      </c>
      <c r="M4" s="8">
        <f t="shared" si="0"/>
        <v>25023209.822430544</v>
      </c>
    </row>
    <row r="5" spans="2:13" x14ac:dyDescent="0.25">
      <c r="B5" s="9" t="s">
        <v>102</v>
      </c>
      <c r="C5" s="10">
        <v>558429.47</v>
      </c>
      <c r="D5" s="10">
        <f>([2]DRE!D7*'[2]Capital de Giro'!C6)+C5</f>
        <v>1566450.5062969998</v>
      </c>
      <c r="E5" s="10">
        <f>([2]DRE!E7*'[2]Capital de Giro'!D6)+D5</f>
        <v>3461855.6189163695</v>
      </c>
      <c r="F5" s="10">
        <f>([2]DRE!F7*'[2]Capital de Giro'!E6)+E5</f>
        <v>6261804.4434959292</v>
      </c>
      <c r="G5" s="10">
        <f>([2]DRE!G7*'[2]Capital de Giro'!F6)+F5</f>
        <v>9593710.5878801122</v>
      </c>
      <c r="H5" s="10">
        <f>([2]DRE!H7*'[2]Capital de Giro'!G6)+G5</f>
        <v>12269396.470839875</v>
      </c>
      <c r="I5" s="10">
        <f>([2]DRE!I7*'[2]Capital de Giro'!H6)+H5</f>
        <v>14183422.320290895</v>
      </c>
      <c r="J5" s="10">
        <f>([2]DRE!J7*'[2]Capital de Giro'!I6)+I5</f>
        <v>15545030.863038821</v>
      </c>
      <c r="K5" s="10">
        <f>([2]DRE!K7*'[2]Capital de Giro'!J6)+J5</f>
        <v>16502604.764202012</v>
      </c>
      <c r="L5" s="10">
        <f>([2]DRE!L7*'[2]Capital de Giro'!K6)+K5</f>
        <v>16849159.464250255</v>
      </c>
      <c r="M5" s="11">
        <f>([2]DRE!M7*'[2]Capital de Giro'!L6)+L5</f>
        <v>17202991.812999509</v>
      </c>
    </row>
    <row r="6" spans="2:13" x14ac:dyDescent="0.25">
      <c r="B6" s="9" t="s">
        <v>46</v>
      </c>
      <c r="C6" s="10">
        <v>253853.53</v>
      </c>
      <c r="D6" s="10">
        <f>(C6*[2]DRE!D7)+'[2]Capital de Giro'!C7</f>
        <v>712084.53700300003</v>
      </c>
      <c r="E6" s="10">
        <f>(D6*[2]DRE!E7)+'[2]Capital de Giro'!D7</f>
        <v>1573706.82677663</v>
      </c>
      <c r="F6" s="10">
        <f>(E6*[2]DRE!F7)+'[2]Capital de Giro'!E7</f>
        <v>2846520.9082735684</v>
      </c>
      <c r="G6" s="10">
        <f>(F6*[2]DRE!G7)+'[2]Capital de Giro'!F7</f>
        <v>4361154.6835659342</v>
      </c>
      <c r="H6" s="10">
        <f>(G6*[2]DRE!H7)+'[2]Capital de Giro'!G7</f>
        <v>5577480.7248124732</v>
      </c>
      <c r="I6" s="10">
        <f>(H6*[2]DRE!I7)+'[2]Capital de Giro'!H7</f>
        <v>6447567.717883219</v>
      </c>
      <c r="J6" s="10">
        <f>(I6*[2]DRE!J7)+'[2]Capital de Giro'!I7</f>
        <v>7066534.2188000083</v>
      </c>
      <c r="K6" s="10">
        <f>(J6*[2]DRE!K7)+'[2]Capital de Giro'!J7</f>
        <v>7501832.7266780892</v>
      </c>
      <c r="L6" s="10">
        <f>(K6*[2]DRE!L7)+'[2]Capital de Giro'!K7</f>
        <v>7659371.2139383294</v>
      </c>
      <c r="M6" s="11">
        <f>(L6*[2]DRE!M7)+'[2]Capital de Giro'!L7</f>
        <v>7820218.0094310343</v>
      </c>
    </row>
    <row r="7" spans="2:13" x14ac:dyDescent="0.25">
      <c r="B7" s="9" t="s">
        <v>103</v>
      </c>
      <c r="C7" s="10">
        <v>0</v>
      </c>
      <c r="D7" s="10"/>
      <c r="E7" s="10"/>
      <c r="F7" s="10"/>
      <c r="G7" s="10"/>
      <c r="H7" s="10"/>
      <c r="I7" s="10"/>
      <c r="J7" s="10"/>
      <c r="K7" s="10"/>
      <c r="L7" s="10"/>
      <c r="M7" s="11"/>
    </row>
    <row r="8" spans="2:13" x14ac:dyDescent="0.25">
      <c r="B8" s="9"/>
      <c r="C8" s="10"/>
      <c r="D8" s="10"/>
      <c r="E8" s="10"/>
      <c r="F8" s="10"/>
      <c r="G8" s="10"/>
      <c r="H8" s="10"/>
      <c r="I8" s="10"/>
      <c r="J8" s="10"/>
      <c r="K8" s="10"/>
      <c r="L8" s="10"/>
      <c r="M8" s="11"/>
    </row>
    <row r="9" spans="2:13" x14ac:dyDescent="0.25">
      <c r="B9" s="6" t="s">
        <v>4</v>
      </c>
      <c r="C9" s="7">
        <f>SUM(C10:C12)</f>
        <v>149409.87</v>
      </c>
      <c r="D9" s="7">
        <f t="shared" ref="D9:M9" si="1">SUM(D10:D12)</f>
        <v>1242796.5369054344</v>
      </c>
      <c r="E9" s="7">
        <f t="shared" si="1"/>
        <v>1906732.4099737664</v>
      </c>
      <c r="F9" s="7">
        <f t="shared" si="1"/>
        <v>2778539.7749815397</v>
      </c>
      <c r="G9" s="7">
        <f t="shared" si="1"/>
        <v>3770160.907933075</v>
      </c>
      <c r="H9" s="7">
        <f t="shared" si="1"/>
        <v>4598916.5742874602</v>
      </c>
      <c r="I9" s="7">
        <f t="shared" si="1"/>
        <v>5255565.1216659043</v>
      </c>
      <c r="J9" s="7">
        <f t="shared" si="1"/>
        <v>5797657.5850691609</v>
      </c>
      <c r="K9" s="7">
        <f t="shared" si="1"/>
        <v>6264167.5433045644</v>
      </c>
      <c r="L9" s="7">
        <f t="shared" si="1"/>
        <v>6605330.4637459898</v>
      </c>
      <c r="M9" s="8">
        <f t="shared" si="1"/>
        <v>6975276.7229707278</v>
      </c>
    </row>
    <row r="10" spans="2:13" x14ac:dyDescent="0.25">
      <c r="B10" s="9" t="s">
        <v>5</v>
      </c>
      <c r="C10" s="10">
        <v>101120.26</v>
      </c>
      <c r="D10" s="10">
        <f>(C10*[2]DRE!D7)+C10</f>
        <v>283652.44132599997</v>
      </c>
      <c r="E10" s="10">
        <f>(D10*[2]DRE!E7)+D10</f>
        <v>626871.89533045993</v>
      </c>
      <c r="F10" s="10">
        <f>(E10*[2]DRE!F7)+E10</f>
        <v>1133885.8842737358</v>
      </c>
      <c r="G10" s="10">
        <f>(F10*[2]DRE!G7)+F10</f>
        <v>1737226.5632957907</v>
      </c>
      <c r="H10" s="10">
        <f>(G10*[2]DRE!H7)+G10</f>
        <v>2221739.0517989867</v>
      </c>
      <c r="I10" s="10">
        <f>(H10*[2]DRE!I7)+H10</f>
        <v>2568330.3438796289</v>
      </c>
      <c r="J10" s="10">
        <f>(I10*[2]DRE!J7)+I10</f>
        <v>2814890.0568920732</v>
      </c>
      <c r="K10" s="10">
        <f>(J10*[2]DRE!K7)+J10</f>
        <v>2988287.2843966251</v>
      </c>
      <c r="L10" s="10">
        <f>(K10*[2]DRE!L7)+K10</f>
        <v>3051041.3173689544</v>
      </c>
      <c r="M10" s="11">
        <f>(L10*[2]DRE!M7)+L10</f>
        <v>3115113.1850337023</v>
      </c>
    </row>
    <row r="11" spans="2:13" x14ac:dyDescent="0.25">
      <c r="B11" s="9" t="s">
        <v>104</v>
      </c>
      <c r="C11" s="10">
        <v>23818.9</v>
      </c>
      <c r="D11" s="10">
        <f>[2]DRE!D14+[2]DRE!D21+[2]DRE!D27</f>
        <v>890501.30695843452</v>
      </c>
      <c r="E11" s="10">
        <f>[2]DRE!E14+[2]DRE!E21+[2]DRE!E27</f>
        <v>1128159.9517908965</v>
      </c>
      <c r="F11" s="10">
        <f>[2]DRE!F14+[2]DRE!F21+[2]DRE!F27</f>
        <v>1370257.9126203645</v>
      </c>
      <c r="G11" s="10">
        <f>[2]DRE!G14+[2]DRE!G21+[2]DRE!G27</f>
        <v>1612532.2666095186</v>
      </c>
      <c r="H11" s="10">
        <f>[2]DRE!H14+[2]DRE!H21+[2]DRE!H27</f>
        <v>1839525.3048987645</v>
      </c>
      <c r="I11" s="10">
        <f>[2]DRE!I14+[2]DRE!I21+[2]DRE!I27</f>
        <v>2065708.8142525712</v>
      </c>
      <c r="J11" s="10">
        <f>[2]DRE!J14+[2]DRE!J21+[2]DRE!J27</f>
        <v>2301575.0721441484</v>
      </c>
      <c r="K11" s="10">
        <f>[2]DRE!K14+[2]DRE!K21+[2]DRE!K27</f>
        <v>2552726.3475833703</v>
      </c>
      <c r="L11" s="10">
        <f>[2]DRE!L14+[2]DRE!L21+[2]DRE!L27</f>
        <v>2815949.0029146513</v>
      </c>
      <c r="M11" s="11">
        <f>[2]DRE!M14+[2]DRE!M21+[2]DRE!M27</f>
        <v>3106318.2514619306</v>
      </c>
    </row>
    <row r="12" spans="2:13" x14ac:dyDescent="0.25">
      <c r="B12" s="9" t="s">
        <v>44</v>
      </c>
      <c r="C12" s="10">
        <v>24470.71</v>
      </c>
      <c r="D12" s="10">
        <f>(C12*[2]DRE!D7)+'[2]Capital de Giro'!C13</f>
        <v>68642.788620999985</v>
      </c>
      <c r="E12" s="10">
        <f>(D12*[2]DRE!E7)+'[2]Capital de Giro'!D13</f>
        <v>151700.56285240996</v>
      </c>
      <c r="F12" s="10">
        <f>(E12*[2]DRE!F7)+'[2]Capital de Giro'!E13</f>
        <v>274395.97808743914</v>
      </c>
      <c r="G12" s="10">
        <f>(F12*[2]DRE!G7)+'[2]Capital de Giro'!F13</f>
        <v>420402.0780277655</v>
      </c>
      <c r="H12" s="10">
        <f>(G12*[2]DRE!H7)+'[2]Capital de Giro'!G13</f>
        <v>537652.21758970933</v>
      </c>
      <c r="I12" s="10">
        <f>(H12*[2]DRE!I7)+'[2]Capital de Giro'!H13</f>
        <v>621525.96353370394</v>
      </c>
      <c r="J12" s="10">
        <f>(I12*[2]DRE!J7)+'[2]Capital de Giro'!I13</f>
        <v>681192.45603293949</v>
      </c>
      <c r="K12" s="10">
        <f>(J12*[2]DRE!K7)+'[2]Capital de Giro'!J13</f>
        <v>723153.91132456856</v>
      </c>
      <c r="L12" s="10">
        <f>(K12*[2]DRE!L7)+'[2]Capital de Giro'!K13</f>
        <v>738340.14346238447</v>
      </c>
      <c r="M12" s="11">
        <f>(L12*[2]DRE!M7)+'[2]Capital de Giro'!L13</f>
        <v>753845.2864750945</v>
      </c>
    </row>
    <row r="13" spans="2:13" x14ac:dyDescent="0.25">
      <c r="B13" s="9"/>
      <c r="C13" s="42"/>
      <c r="D13" s="42"/>
      <c r="E13" s="42"/>
      <c r="F13" s="42"/>
      <c r="G13" s="42"/>
      <c r="H13" s="42"/>
      <c r="I13" s="42"/>
      <c r="J13" s="42"/>
      <c r="K13" s="42"/>
      <c r="L13" s="42"/>
      <c r="M13" s="43"/>
    </row>
    <row r="14" spans="2:13" x14ac:dyDescent="0.25">
      <c r="B14" s="9" t="s">
        <v>105</v>
      </c>
      <c r="C14" s="90">
        <f>C9-C4</f>
        <v>-662873.13</v>
      </c>
      <c r="D14" s="90">
        <f t="shared" ref="D14:M14" si="2">D9-D4</f>
        <v>-1035738.5063945656</v>
      </c>
      <c r="E14" s="90">
        <f t="shared" si="2"/>
        <v>-3128830.0357192326</v>
      </c>
      <c r="F14" s="90">
        <f t="shared" si="2"/>
        <v>-6329785.5767879579</v>
      </c>
      <c r="G14" s="90">
        <f t="shared" si="2"/>
        <v>-10184704.363512971</v>
      </c>
      <c r="H14" s="90">
        <f t="shared" si="2"/>
        <v>-13247960.621364888</v>
      </c>
      <c r="I14" s="90">
        <f t="shared" si="2"/>
        <v>-15375424.916508211</v>
      </c>
      <c r="J14" s="90">
        <f t="shared" si="2"/>
        <v>-16813907.49676967</v>
      </c>
      <c r="K14" s="90">
        <f t="shared" si="2"/>
        <v>-17740269.947575539</v>
      </c>
      <c r="L14" s="90">
        <f t="shared" si="2"/>
        <v>-17903200.214442596</v>
      </c>
      <c r="M14" s="91">
        <f t="shared" si="2"/>
        <v>-18047933.099459816</v>
      </c>
    </row>
    <row r="15" spans="2:13" x14ac:dyDescent="0.25">
      <c r="B15" s="9" t="s">
        <v>106</v>
      </c>
      <c r="C15" s="42"/>
      <c r="D15" s="90">
        <f>D14-C14</f>
        <v>-372865.37639456557</v>
      </c>
      <c r="E15" s="90">
        <f t="shared" ref="E15:M15" si="3">E14-D14</f>
        <v>-2093091.5293246671</v>
      </c>
      <c r="F15" s="90">
        <f t="shared" si="3"/>
        <v>-3200955.5410687253</v>
      </c>
      <c r="G15" s="90">
        <f t="shared" si="3"/>
        <v>-3854918.7867250126</v>
      </c>
      <c r="H15" s="90">
        <f t="shared" si="3"/>
        <v>-3063256.2578519173</v>
      </c>
      <c r="I15" s="90">
        <f t="shared" si="3"/>
        <v>-2127464.295143323</v>
      </c>
      <c r="J15" s="90">
        <f t="shared" si="3"/>
        <v>-1438482.5802614596</v>
      </c>
      <c r="K15" s="90">
        <f t="shared" si="3"/>
        <v>-926362.45080586895</v>
      </c>
      <c r="L15" s="90">
        <f t="shared" si="3"/>
        <v>-162930.26686705649</v>
      </c>
      <c r="M15" s="91">
        <f t="shared" si="3"/>
        <v>-144732.88501721993</v>
      </c>
    </row>
    <row r="16" spans="2:13" x14ac:dyDescent="0.25">
      <c r="B16" s="45" t="s">
        <v>107</v>
      </c>
      <c r="C16" s="92"/>
      <c r="D16" s="92"/>
      <c r="E16" s="92"/>
      <c r="F16" s="92"/>
      <c r="G16" s="92"/>
      <c r="H16" s="92"/>
      <c r="I16" s="92"/>
      <c r="J16" s="92"/>
      <c r="K16" s="92"/>
      <c r="L16" s="92"/>
      <c r="M16" s="93"/>
    </row>
  </sheetData>
  <mergeCells count="1">
    <mergeCell ref="B2:M2"/>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13"/>
  <sheetViews>
    <sheetView topLeftCell="B1" workbookViewId="0">
      <selection activeCell="G17" sqref="G17"/>
    </sheetView>
  </sheetViews>
  <sheetFormatPr defaultRowHeight="15" x14ac:dyDescent="0.2"/>
  <cols>
    <col min="1" max="1" width="9.140625" style="48"/>
    <col min="2" max="2" width="29" style="48" bestFit="1" customWidth="1"/>
    <col min="3" max="13" width="16.140625" style="48" bestFit="1" customWidth="1"/>
    <col min="14" max="16384" width="9.140625" style="48"/>
  </cols>
  <sheetData>
    <row r="2" spans="2:13" ht="15.75" x14ac:dyDescent="0.25">
      <c r="B2" s="181" t="s">
        <v>115</v>
      </c>
      <c r="C2" s="182"/>
      <c r="D2" s="182"/>
      <c r="E2" s="182"/>
      <c r="F2" s="182"/>
      <c r="G2" s="182"/>
      <c r="H2" s="182"/>
      <c r="I2" s="182"/>
      <c r="J2" s="182"/>
      <c r="K2" s="182"/>
      <c r="L2" s="182"/>
      <c r="M2" s="183"/>
    </row>
    <row r="3" spans="2:13" x14ac:dyDescent="0.2">
      <c r="B3" s="9"/>
      <c r="C3" s="42"/>
      <c r="D3" s="42"/>
      <c r="E3" s="42"/>
      <c r="F3" s="42"/>
      <c r="G3" s="42"/>
      <c r="H3" s="42"/>
      <c r="I3" s="42"/>
      <c r="J3" s="42"/>
      <c r="K3" s="42"/>
      <c r="L3" s="42"/>
      <c r="M3" s="43"/>
    </row>
    <row r="4" spans="2:13" ht="15.75" x14ac:dyDescent="0.25">
      <c r="B4" s="15" t="s">
        <v>51</v>
      </c>
      <c r="C4" s="16" t="s">
        <v>59</v>
      </c>
      <c r="D4" s="16" t="s">
        <v>60</v>
      </c>
      <c r="E4" s="16" t="s">
        <v>61</v>
      </c>
      <c r="F4" s="16" t="s">
        <v>62</v>
      </c>
      <c r="G4" s="16" t="s">
        <v>63</v>
      </c>
      <c r="H4" s="16" t="s">
        <v>64</v>
      </c>
      <c r="I4" s="16" t="s">
        <v>65</v>
      </c>
      <c r="J4" s="16" t="s">
        <v>66</v>
      </c>
      <c r="K4" s="16" t="s">
        <v>67</v>
      </c>
      <c r="L4" s="16" t="s">
        <v>68</v>
      </c>
      <c r="M4" s="17" t="s">
        <v>69</v>
      </c>
    </row>
    <row r="5" spans="2:13" x14ac:dyDescent="0.2">
      <c r="B5" s="9"/>
      <c r="C5" s="42"/>
      <c r="D5" s="42"/>
      <c r="E5" s="42"/>
      <c r="F5" s="42"/>
      <c r="G5" s="42"/>
      <c r="H5" s="42"/>
      <c r="I5" s="42"/>
      <c r="J5" s="42"/>
      <c r="K5" s="42"/>
      <c r="L5" s="42"/>
      <c r="M5" s="43"/>
    </row>
    <row r="6" spans="2:13" x14ac:dyDescent="0.2">
      <c r="B6" s="9" t="s">
        <v>51</v>
      </c>
      <c r="C6" s="10">
        <v>2338869.5</v>
      </c>
      <c r="D6" s="90">
        <f>C6*1.025</f>
        <v>2397341.2374999998</v>
      </c>
      <c r="E6" s="90">
        <f t="shared" ref="E6:M6" si="0">D6*1.025</f>
        <v>2457274.7684374996</v>
      </c>
      <c r="F6" s="90">
        <f t="shared" si="0"/>
        <v>2518706.6376484367</v>
      </c>
      <c r="G6" s="90">
        <f t="shared" si="0"/>
        <v>2581674.3035896472</v>
      </c>
      <c r="H6" s="90">
        <f t="shared" si="0"/>
        <v>2646216.1611793879</v>
      </c>
      <c r="I6" s="90">
        <f>(((H6*0.5584))*1.025)+(((H6*0.4416)*1.3))</f>
        <v>3033728.0558224972</v>
      </c>
      <c r="J6" s="90">
        <f t="shared" si="0"/>
        <v>3109571.2572180596</v>
      </c>
      <c r="K6" s="90">
        <f t="shared" si="0"/>
        <v>3187310.5386485108</v>
      </c>
      <c r="L6" s="90">
        <f t="shared" si="0"/>
        <v>3266993.3021147233</v>
      </c>
      <c r="M6" s="91">
        <f t="shared" si="0"/>
        <v>3348668.1346675912</v>
      </c>
    </row>
    <row r="7" spans="2:13" x14ac:dyDescent="0.2">
      <c r="B7" s="9" t="s">
        <v>108</v>
      </c>
      <c r="C7" s="10">
        <v>-642716.16000000003</v>
      </c>
      <c r="D7" s="90">
        <f>-D6*0.057</f>
        <v>-136648.4505375</v>
      </c>
      <c r="E7" s="90">
        <f t="shared" ref="E7:M7" si="1">-E6*0.057</f>
        <v>-140064.66180093749</v>
      </c>
      <c r="F7" s="90">
        <f t="shared" si="1"/>
        <v>-143566.27834596089</v>
      </c>
      <c r="G7" s="90">
        <f t="shared" si="1"/>
        <v>-147155.43530460988</v>
      </c>
      <c r="H7" s="90">
        <f t="shared" si="1"/>
        <v>-150834.32118722511</v>
      </c>
      <c r="I7" s="90">
        <f t="shared" si="1"/>
        <v>-172922.49918188236</v>
      </c>
      <c r="J7" s="90">
        <f t="shared" si="1"/>
        <v>-177245.56166142941</v>
      </c>
      <c r="K7" s="90">
        <f t="shared" si="1"/>
        <v>-181676.70070296511</v>
      </c>
      <c r="L7" s="90">
        <f t="shared" si="1"/>
        <v>-186218.61822053924</v>
      </c>
      <c r="M7" s="91">
        <f t="shared" si="1"/>
        <v>-190874.08367605272</v>
      </c>
    </row>
    <row r="8" spans="2:13" x14ac:dyDescent="0.2">
      <c r="B8" s="9" t="s">
        <v>109</v>
      </c>
      <c r="C8" s="10"/>
      <c r="D8" s="90">
        <f>C7+D7</f>
        <v>-779364.6105375</v>
      </c>
      <c r="E8" s="90">
        <f>D8+E7</f>
        <v>-919429.2723384375</v>
      </c>
      <c r="F8" s="90">
        <f t="shared" ref="F8:M8" si="2">E8+F7</f>
        <v>-1062995.5506843985</v>
      </c>
      <c r="G8" s="90">
        <f t="shared" si="2"/>
        <v>-1210150.9859890083</v>
      </c>
      <c r="H8" s="90">
        <f t="shared" si="2"/>
        <v>-1360985.3071762335</v>
      </c>
      <c r="I8" s="90">
        <f t="shared" si="2"/>
        <v>-1533907.8063581157</v>
      </c>
      <c r="J8" s="90">
        <f t="shared" si="2"/>
        <v>-1711153.3680195452</v>
      </c>
      <c r="K8" s="90">
        <f t="shared" si="2"/>
        <v>-1892830.0687225102</v>
      </c>
      <c r="L8" s="90">
        <f t="shared" si="2"/>
        <v>-2079048.6869430495</v>
      </c>
      <c r="M8" s="91">
        <f t="shared" si="2"/>
        <v>-2269922.7706191023</v>
      </c>
    </row>
    <row r="9" spans="2:13" x14ac:dyDescent="0.2">
      <c r="B9" s="45" t="s">
        <v>110</v>
      </c>
      <c r="C9" s="46"/>
      <c r="D9" s="94">
        <f>D6-C6</f>
        <v>58471.737499999814</v>
      </c>
      <c r="E9" s="94">
        <f t="shared" ref="E9:M9" si="3">E6-D6</f>
        <v>59933.530937499832</v>
      </c>
      <c r="F9" s="94">
        <f t="shared" si="3"/>
        <v>61431.86921093706</v>
      </c>
      <c r="G9" s="94">
        <f t="shared" si="3"/>
        <v>62967.665941210464</v>
      </c>
      <c r="H9" s="94">
        <f t="shared" si="3"/>
        <v>64541.857589740772</v>
      </c>
      <c r="I9" s="94">
        <f t="shared" si="3"/>
        <v>387511.89464310929</v>
      </c>
      <c r="J9" s="94">
        <f t="shared" si="3"/>
        <v>75843.201395562384</v>
      </c>
      <c r="K9" s="94">
        <f t="shared" si="3"/>
        <v>77739.281430451199</v>
      </c>
      <c r="L9" s="94">
        <f t="shared" si="3"/>
        <v>79682.763466212433</v>
      </c>
      <c r="M9" s="95">
        <f t="shared" si="3"/>
        <v>81674.832552867942</v>
      </c>
    </row>
    <row r="10" spans="2:13" ht="15.75" x14ac:dyDescent="0.25">
      <c r="B10" s="96" t="s">
        <v>111</v>
      </c>
      <c r="C10" s="97" t="s">
        <v>116</v>
      </c>
      <c r="D10" s="97"/>
      <c r="E10" s="97"/>
      <c r="F10" s="97"/>
      <c r="G10" s="97"/>
      <c r="H10" s="97"/>
      <c r="I10" s="97"/>
      <c r="J10" s="97"/>
      <c r="K10" s="97"/>
      <c r="L10" s="97"/>
      <c r="M10" s="98"/>
    </row>
    <row r="11" spans="2:13" x14ac:dyDescent="0.2">
      <c r="B11" s="9" t="s">
        <v>112</v>
      </c>
      <c r="C11" s="83">
        <v>0.20530000000000001</v>
      </c>
      <c r="D11" s="90">
        <f>D7*$C$11</f>
        <v>-28053.926895348752</v>
      </c>
      <c r="E11" s="90">
        <f t="shared" ref="E11:M11" si="4">E7*$C$11</f>
        <v>-28755.275067732469</v>
      </c>
      <c r="F11" s="90">
        <f t="shared" si="4"/>
        <v>-29474.156944425773</v>
      </c>
      <c r="G11" s="90">
        <f t="shared" si="4"/>
        <v>-30211.01086803641</v>
      </c>
      <c r="H11" s="90">
        <f t="shared" si="4"/>
        <v>-30966.286139737316</v>
      </c>
      <c r="I11" s="90">
        <f t="shared" si="4"/>
        <v>-35500.989082040447</v>
      </c>
      <c r="J11" s="90">
        <f t="shared" si="4"/>
        <v>-36388.513809091462</v>
      </c>
      <c r="K11" s="90">
        <f t="shared" si="4"/>
        <v>-37298.226654318743</v>
      </c>
      <c r="L11" s="90">
        <f t="shared" si="4"/>
        <v>-38230.682320676708</v>
      </c>
      <c r="M11" s="91">
        <f t="shared" si="4"/>
        <v>-39186.449378693622</v>
      </c>
    </row>
    <row r="12" spans="2:13" x14ac:dyDescent="0.2">
      <c r="B12" s="9" t="s">
        <v>113</v>
      </c>
      <c r="C12" s="83">
        <v>0.30790000000000001</v>
      </c>
      <c r="D12" s="90">
        <f>D7*$C$12</f>
        <v>-42074.057920496249</v>
      </c>
      <c r="E12" s="90">
        <f t="shared" ref="E12:M12" si="5">E7*$C$12</f>
        <v>-43125.909368508655</v>
      </c>
      <c r="F12" s="90">
        <f t="shared" si="5"/>
        <v>-44204.057102721359</v>
      </c>
      <c r="G12" s="90">
        <f t="shared" si="5"/>
        <v>-45309.158530289387</v>
      </c>
      <c r="H12" s="90">
        <f t="shared" si="5"/>
        <v>-46441.887493546616</v>
      </c>
      <c r="I12" s="90">
        <f t="shared" si="5"/>
        <v>-53242.83749810158</v>
      </c>
      <c r="J12" s="90">
        <f t="shared" si="5"/>
        <v>-54573.90843555412</v>
      </c>
      <c r="K12" s="90">
        <f t="shared" si="5"/>
        <v>-55938.25614644296</v>
      </c>
      <c r="L12" s="90">
        <f t="shared" si="5"/>
        <v>-57336.712550104035</v>
      </c>
      <c r="M12" s="91">
        <f t="shared" si="5"/>
        <v>-58770.130363856631</v>
      </c>
    </row>
    <row r="13" spans="2:13" x14ac:dyDescent="0.2">
      <c r="B13" s="45" t="s">
        <v>114</v>
      </c>
      <c r="C13" s="99">
        <v>0.48680000000000001</v>
      </c>
      <c r="D13" s="94">
        <f>D7*$C$13</f>
        <v>-66520.465721654997</v>
      </c>
      <c r="E13" s="94">
        <f t="shared" ref="E13:M13" si="6">E7*$C$13</f>
        <v>-68183.477364696373</v>
      </c>
      <c r="F13" s="94">
        <f t="shared" si="6"/>
        <v>-69888.06429881377</v>
      </c>
      <c r="G13" s="94">
        <f t="shared" si="6"/>
        <v>-71635.265906284098</v>
      </c>
      <c r="H13" s="94">
        <f t="shared" si="6"/>
        <v>-73426.147553941191</v>
      </c>
      <c r="I13" s="94">
        <f t="shared" si="6"/>
        <v>-84178.672601740342</v>
      </c>
      <c r="J13" s="94">
        <f t="shared" si="6"/>
        <v>-86283.139416783844</v>
      </c>
      <c r="K13" s="94">
        <f t="shared" si="6"/>
        <v>-88440.217902203425</v>
      </c>
      <c r="L13" s="94">
        <f t="shared" si="6"/>
        <v>-90651.223349758497</v>
      </c>
      <c r="M13" s="95">
        <f t="shared" si="6"/>
        <v>-92917.503933502463</v>
      </c>
    </row>
  </sheetData>
  <mergeCells count="1">
    <mergeCell ref="B2:M2"/>
  </mergeCells>
  <pageMargins left="0.511811024" right="0.511811024" top="0.78740157499999996" bottom="0.78740157499999996" header="0.31496062000000002" footer="0.31496062000000002"/>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4"/>
  <sheetViews>
    <sheetView workbookViewId="0">
      <selection activeCell="E18" sqref="E18"/>
    </sheetView>
  </sheetViews>
  <sheetFormatPr defaultRowHeight="15" x14ac:dyDescent="0.2"/>
  <cols>
    <col min="1" max="1" width="3.7109375" style="48" customWidth="1"/>
    <col min="2" max="2" width="45.140625" style="48" bestFit="1" customWidth="1"/>
    <col min="3" max="3" width="16.140625" style="48" bestFit="1" customWidth="1"/>
    <col min="4" max="12" width="17.5703125" style="48" bestFit="1" customWidth="1"/>
    <col min="13" max="16384" width="9.140625" style="48"/>
  </cols>
  <sheetData>
    <row r="2" spans="2:12" ht="15.75" x14ac:dyDescent="0.25">
      <c r="B2" s="181" t="s">
        <v>117</v>
      </c>
      <c r="C2" s="182"/>
      <c r="D2" s="182"/>
      <c r="E2" s="182"/>
      <c r="F2" s="182"/>
      <c r="G2" s="182"/>
      <c r="H2" s="182"/>
      <c r="I2" s="182"/>
      <c r="J2" s="182"/>
      <c r="K2" s="182"/>
      <c r="L2" s="183"/>
    </row>
    <row r="3" spans="2:12" x14ac:dyDescent="0.2">
      <c r="B3" s="9"/>
      <c r="C3" s="42"/>
      <c r="D3" s="42"/>
      <c r="E3" s="42"/>
      <c r="F3" s="42"/>
      <c r="G3" s="42"/>
      <c r="H3" s="42"/>
      <c r="I3" s="42"/>
      <c r="J3" s="42"/>
      <c r="K3" s="42"/>
      <c r="L3" s="43"/>
    </row>
    <row r="4" spans="2:12" ht="15.75" x14ac:dyDescent="0.25">
      <c r="B4" s="100" t="s">
        <v>118</v>
      </c>
      <c r="C4" s="81" t="s">
        <v>60</v>
      </c>
      <c r="D4" s="81" t="s">
        <v>61</v>
      </c>
      <c r="E4" s="81" t="s">
        <v>62</v>
      </c>
      <c r="F4" s="81" t="s">
        <v>63</v>
      </c>
      <c r="G4" s="81" t="s">
        <v>64</v>
      </c>
      <c r="H4" s="81" t="s">
        <v>65</v>
      </c>
      <c r="I4" s="81" t="s">
        <v>66</v>
      </c>
      <c r="J4" s="81" t="s">
        <v>67</v>
      </c>
      <c r="K4" s="81" t="s">
        <v>68</v>
      </c>
      <c r="L4" s="82" t="s">
        <v>69</v>
      </c>
    </row>
    <row r="5" spans="2:12" ht="15.75" x14ac:dyDescent="0.25">
      <c r="B5" s="96" t="s">
        <v>119</v>
      </c>
      <c r="C5" s="101">
        <f>[2]DRE!D6</f>
        <v>5676027.225598</v>
      </c>
      <c r="D5" s="101">
        <f>[2]DRE!E6</f>
        <v>12544020.16857158</v>
      </c>
      <c r="E5" s="101">
        <f>[2]DRE!F6</f>
        <v>22689623.680912271</v>
      </c>
      <c r="F5" s="101">
        <f>[2]DRE!G6</f>
        <v>34762772.44152569</v>
      </c>
      <c r="G5" s="101">
        <f>[2]DRE!H6</f>
        <v>44458109.675467208</v>
      </c>
      <c r="H5" s="101">
        <f>[2]DRE!I6</f>
        <v>51393574.784840092</v>
      </c>
      <c r="I5" s="101">
        <f>[2]DRE!J6</f>
        <v>56327357.964184739</v>
      </c>
      <c r="J5" s="101">
        <f>[2]DRE!K6</f>
        <v>59797123.21477852</v>
      </c>
      <c r="K5" s="101">
        <f>[2]DRE!L6</f>
        <v>61052862.802288868</v>
      </c>
      <c r="L5" s="102">
        <f>[2]DRE!M6</f>
        <v>62334972.921136931</v>
      </c>
    </row>
    <row r="6" spans="2:12" x14ac:dyDescent="0.2">
      <c r="B6" s="9" t="s">
        <v>120</v>
      </c>
      <c r="C6" s="10">
        <f>[2]DRE!D9-[2]DRE!D15</f>
        <v>1971295.4868930546</v>
      </c>
      <c r="D6" s="10">
        <f>[2]DRE!E9-[2]DRE!E15</f>
        <v>4097445.2900250433</v>
      </c>
      <c r="E6" s="10">
        <f>[2]DRE!F9-[2]DRE!F15</f>
        <v>7188741.1136691906</v>
      </c>
      <c r="F6" s="10">
        <f>[2]DRE!G9-[2]DRE!G15</f>
        <v>10844964.699917352</v>
      </c>
      <c r="G6" s="10">
        <f>[2]DRE!H9-[2]DRE!H15</f>
        <v>13792926.870034572</v>
      </c>
      <c r="H6" s="10">
        <f>[2]DRE!I9-[2]DRE!I15</f>
        <v>15928194.16018606</v>
      </c>
      <c r="I6" s="10">
        <f>[2]DRE!J9-[2]DRE!J15</f>
        <v>17478893.902159687</v>
      </c>
      <c r="J6" s="10">
        <f>[2]DRE!K9-[2]DRE!K15</f>
        <v>18605660.560777623</v>
      </c>
      <c r="K6" s="10">
        <f>[2]DRE!L9-[2]DRE!L15</f>
        <v>19086115.736694135</v>
      </c>
      <c r="L6" s="11">
        <f>[2]DRE!M9-[2]DRE!M15</f>
        <v>19586048.683444042</v>
      </c>
    </row>
    <row r="7" spans="2:12" x14ac:dyDescent="0.2">
      <c r="B7" s="9" t="s">
        <v>108</v>
      </c>
      <c r="C7" s="10">
        <f>[2]DRE!D15+[2]DRE!D24+[2]DRE!D32</f>
        <v>136648.4505375</v>
      </c>
      <c r="D7" s="10">
        <f>[2]DRE!E15+[2]DRE!E24+[2]DRE!E32</f>
        <v>140064.66180093749</v>
      </c>
      <c r="E7" s="10">
        <f>[2]DRE!F15+[2]DRE!F24+[2]DRE!F32</f>
        <v>143566.27834596089</v>
      </c>
      <c r="F7" s="10">
        <f>[2]DRE!G15+[2]DRE!G24+[2]DRE!G32</f>
        <v>147155.43530460988</v>
      </c>
      <c r="G7" s="10">
        <f>[2]DRE!H15+[2]DRE!H24+[2]DRE!H32</f>
        <v>150834.32118722511</v>
      </c>
      <c r="H7" s="10">
        <f>[2]DRE!I15+[2]DRE!I24+[2]DRE!I32</f>
        <v>172922.49918188236</v>
      </c>
      <c r="I7" s="10">
        <f>[2]DRE!J15+[2]DRE!J24+[2]DRE!J32</f>
        <v>177245.56166142944</v>
      </c>
      <c r="J7" s="10">
        <f>[2]DRE!K15+[2]DRE!K24+[2]DRE!K32</f>
        <v>181676.70070296514</v>
      </c>
      <c r="K7" s="10">
        <f>[2]DRE!L15+[2]DRE!L24+[2]DRE!L32</f>
        <v>186218.61822053924</v>
      </c>
      <c r="L7" s="11">
        <f>[2]DRE!M15+[2]DRE!M24+[2]DRE!M32</f>
        <v>190874.08367605269</v>
      </c>
    </row>
    <row r="8" spans="2:12" x14ac:dyDescent="0.2">
      <c r="B8" s="9" t="s">
        <v>121</v>
      </c>
      <c r="C8" s="10">
        <f>[2]DRE!D19-[2]DRE!D24-[2]DRE!D32</f>
        <v>3134956.812902106</v>
      </c>
      <c r="D8" s="10">
        <f>[2]DRE!E19-[2]DRE!E24-[2]DRE!E32</f>
        <v>5677924.3708626023</v>
      </c>
      <c r="E8" s="10">
        <f>[2]DRE!F19-[2]DRE!F24-[2]DRE!F32</f>
        <v>9349367.6707565952</v>
      </c>
      <c r="F8" s="10">
        <f>[2]DRE!G19-[2]DRE!G24-[2]DRE!G32</f>
        <v>13682258.251132589</v>
      </c>
      <c r="G8" s="10">
        <f>[2]DRE!H19-[2]DRE!H24-[2]DRE!H32</f>
        <v>17179698.253855214</v>
      </c>
      <c r="H8" s="10">
        <f>[2]DRE!I19-[2]DRE!I24-[2]DRE!I32</f>
        <v>19745880.677824508</v>
      </c>
      <c r="I8" s="10">
        <f>[2]DRE!J19-[2]DRE!J24-[2]DRE!J32</f>
        <v>21598889.234532952</v>
      </c>
      <c r="J8" s="10">
        <f>[2]DRE!K19-[2]DRE!K24-[2]DRE!K32</f>
        <v>22953762.243305031</v>
      </c>
      <c r="K8" s="10">
        <f>[2]DRE!L19-[2]DRE!L24-[2]DRE!L32</f>
        <v>23549741.164079424</v>
      </c>
      <c r="L8" s="11">
        <f>[2]DRE!M19-[2]DRE!M24-[2]DRE!M32</f>
        <v>24170488.331520237</v>
      </c>
    </row>
    <row r="9" spans="2:12" x14ac:dyDescent="0.2">
      <c r="B9" s="9" t="s">
        <v>122</v>
      </c>
      <c r="C9" s="10">
        <v>0</v>
      </c>
      <c r="D9" s="10">
        <v>0</v>
      </c>
      <c r="E9" s="10">
        <v>0</v>
      </c>
      <c r="F9" s="10">
        <v>0</v>
      </c>
      <c r="G9" s="10">
        <v>0</v>
      </c>
      <c r="H9" s="10">
        <v>0</v>
      </c>
      <c r="I9" s="10">
        <v>0</v>
      </c>
      <c r="J9" s="10">
        <v>0</v>
      </c>
      <c r="K9" s="10">
        <v>0</v>
      </c>
      <c r="L9" s="11">
        <v>0</v>
      </c>
    </row>
    <row r="10" spans="2:12" ht="15.75" x14ac:dyDescent="0.25">
      <c r="B10" s="6" t="s">
        <v>123</v>
      </c>
      <c r="C10" s="7">
        <f>C5-C6-C7-C8-C9</f>
        <v>433126.47526533948</v>
      </c>
      <c r="D10" s="7">
        <f t="shared" ref="D10:L10" si="0">D5-D6-D7-D8-D9</f>
        <v>2628585.845882996</v>
      </c>
      <c r="E10" s="7">
        <f t="shared" si="0"/>
        <v>6007948.6181405243</v>
      </c>
      <c r="F10" s="7">
        <f t="shared" si="0"/>
        <v>10088394.05517114</v>
      </c>
      <c r="G10" s="7">
        <f t="shared" si="0"/>
        <v>13334650.230390199</v>
      </c>
      <c r="H10" s="7">
        <f t="shared" si="0"/>
        <v>15546577.447647642</v>
      </c>
      <c r="I10" s="7">
        <f t="shared" si="0"/>
        <v>17072329.265830673</v>
      </c>
      <c r="J10" s="7">
        <f t="shared" si="0"/>
        <v>18056023.709992897</v>
      </c>
      <c r="K10" s="7">
        <f t="shared" si="0"/>
        <v>18230787.283294771</v>
      </c>
      <c r="L10" s="8">
        <f t="shared" si="0"/>
        <v>18387561.8224966</v>
      </c>
    </row>
    <row r="11" spans="2:12" x14ac:dyDescent="0.2">
      <c r="B11" s="9" t="s">
        <v>124</v>
      </c>
      <c r="C11" s="10">
        <f>[2]DRE!D15+[2]DRE!D24+[2]DRE!D32</f>
        <v>136648.4505375</v>
      </c>
      <c r="D11" s="10">
        <f>[2]DRE!E15+[2]DRE!E24+[2]DRE!E32</f>
        <v>140064.66180093749</v>
      </c>
      <c r="E11" s="10">
        <f>[2]DRE!F15+[2]DRE!F24+[2]DRE!F32</f>
        <v>143566.27834596089</v>
      </c>
      <c r="F11" s="10">
        <f>[2]DRE!G15+[2]DRE!G24+[2]DRE!G32</f>
        <v>147155.43530460988</v>
      </c>
      <c r="G11" s="10">
        <f>[2]DRE!H15+[2]DRE!H24+[2]DRE!H32</f>
        <v>150834.32118722511</v>
      </c>
      <c r="H11" s="10">
        <f>[2]DRE!I15+[2]DRE!I24+[2]DRE!I32</f>
        <v>172922.49918188236</v>
      </c>
      <c r="I11" s="10">
        <f>[2]DRE!J15+[2]DRE!J24+[2]DRE!J32</f>
        <v>177245.56166142944</v>
      </c>
      <c r="J11" s="10">
        <f>[2]DRE!K15+[2]DRE!K24+[2]DRE!K32</f>
        <v>181676.70070296514</v>
      </c>
      <c r="K11" s="10">
        <f>[2]DRE!L15+[2]DRE!L24+[2]DRE!L32</f>
        <v>186218.61822053924</v>
      </c>
      <c r="L11" s="11">
        <f>[2]DRE!M15+[2]DRE!M24+[2]DRE!M32</f>
        <v>190874.08367605269</v>
      </c>
    </row>
    <row r="12" spans="2:12" x14ac:dyDescent="0.2">
      <c r="B12" s="9" t="s">
        <v>125</v>
      </c>
      <c r="C12" s="10">
        <f>[2]Imobilizado!D9</f>
        <v>58471.737499999814</v>
      </c>
      <c r="D12" s="10">
        <f>[2]Imobilizado!E9</f>
        <v>59933.530937499832</v>
      </c>
      <c r="E12" s="10">
        <f>[2]Imobilizado!F9</f>
        <v>61431.86921093706</v>
      </c>
      <c r="F12" s="10">
        <f>[2]Imobilizado!G9</f>
        <v>62967.665941210464</v>
      </c>
      <c r="G12" s="10">
        <f>[2]Imobilizado!H9</f>
        <v>64541.857589740772</v>
      </c>
      <c r="H12" s="10">
        <f>[2]Imobilizado!I9</f>
        <v>387511.89464310929</v>
      </c>
      <c r="I12" s="10">
        <f>[2]Imobilizado!J9</f>
        <v>75843.201395562384</v>
      </c>
      <c r="J12" s="10">
        <f>[2]Imobilizado!K9</f>
        <v>77739.281430451199</v>
      </c>
      <c r="K12" s="10">
        <f>[2]Imobilizado!L9</f>
        <v>79682.763466212433</v>
      </c>
      <c r="L12" s="11">
        <f>[2]Imobilizado!M9</f>
        <v>81674.832552867942</v>
      </c>
    </row>
    <row r="13" spans="2:12" x14ac:dyDescent="0.2">
      <c r="B13" s="9" t="s">
        <v>126</v>
      </c>
      <c r="C13" s="10">
        <f>'[2]Capital de Giro'!D16</f>
        <v>-372865.37639456557</v>
      </c>
      <c r="D13" s="10">
        <f>'[2]Capital de Giro'!E16</f>
        <v>-2093091.5293246671</v>
      </c>
      <c r="E13" s="10">
        <f>'[2]Capital de Giro'!F16</f>
        <v>-3200955.5410687253</v>
      </c>
      <c r="F13" s="10">
        <f>'[2]Capital de Giro'!G16</f>
        <v>-3854918.7867250126</v>
      </c>
      <c r="G13" s="10">
        <f>'[2]Capital de Giro'!H16</f>
        <v>-3063256.2578519173</v>
      </c>
      <c r="H13" s="10">
        <f>'[2]Capital de Giro'!I16</f>
        <v>-2127464.295143323</v>
      </c>
      <c r="I13" s="10">
        <f>'[2]Capital de Giro'!J16</f>
        <v>-1438482.5802614596</v>
      </c>
      <c r="J13" s="10">
        <f>'[2]Capital de Giro'!K16</f>
        <v>-926362.45080586895</v>
      </c>
      <c r="K13" s="10">
        <f>'[2]Capital de Giro'!L16</f>
        <v>-162930.26686705649</v>
      </c>
      <c r="L13" s="11">
        <f>'[2]Capital de Giro'!M16</f>
        <v>-144732.88501721993</v>
      </c>
    </row>
    <row r="14" spans="2:12" ht="15.75" x14ac:dyDescent="0.25">
      <c r="B14" s="12" t="s">
        <v>127</v>
      </c>
      <c r="C14" s="13">
        <f>C10+C11-C12+C13</f>
        <v>138437.81190827407</v>
      </c>
      <c r="D14" s="13">
        <f t="shared" ref="D14:L14" si="1">D10+D11-D12+D13</f>
        <v>615625.44742176682</v>
      </c>
      <c r="E14" s="13">
        <f t="shared" si="1"/>
        <v>2889127.486206823</v>
      </c>
      <c r="F14" s="13">
        <f t="shared" si="1"/>
        <v>6317663.0378095265</v>
      </c>
      <c r="G14" s="13">
        <f t="shared" si="1"/>
        <v>10357686.436135765</v>
      </c>
      <c r="H14" s="13">
        <f t="shared" si="1"/>
        <v>13204523.757043092</v>
      </c>
      <c r="I14" s="13">
        <f t="shared" si="1"/>
        <v>15735249.04583508</v>
      </c>
      <c r="J14" s="13">
        <f t="shared" si="1"/>
        <v>17233598.678459544</v>
      </c>
      <c r="K14" s="13">
        <f t="shared" si="1"/>
        <v>18174392.871182039</v>
      </c>
      <c r="L14" s="14">
        <f t="shared" si="1"/>
        <v>18352028.188602563</v>
      </c>
    </row>
  </sheetData>
  <mergeCells count="1">
    <mergeCell ref="B2:L2"/>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5" workbookViewId="0">
      <selection activeCell="C1" sqref="C1:L3"/>
    </sheetView>
  </sheetViews>
  <sheetFormatPr defaultRowHeight="15" x14ac:dyDescent="0.2"/>
  <cols>
    <col min="1" max="1" width="31" style="21" bestFit="1" customWidth="1"/>
    <col min="2" max="2" width="0" style="21" hidden="1" customWidth="1"/>
    <col min="3" max="5" width="10.5703125" style="21" bestFit="1" customWidth="1"/>
    <col min="6" max="12" width="11.5703125" style="21" bestFit="1" customWidth="1"/>
    <col min="13" max="16384" width="9.140625" style="21"/>
  </cols>
  <sheetData>
    <row r="1" spans="1:12" ht="15.75" x14ac:dyDescent="0.25">
      <c r="A1" s="28" t="s">
        <v>119</v>
      </c>
      <c r="B1" s="29" t="s">
        <v>59</v>
      </c>
      <c r="C1" s="29" t="s">
        <v>60</v>
      </c>
      <c r="D1" s="29" t="s">
        <v>61</v>
      </c>
      <c r="E1" s="29" t="s">
        <v>62</v>
      </c>
      <c r="F1" s="29" t="s">
        <v>63</v>
      </c>
      <c r="G1" s="29" t="s">
        <v>64</v>
      </c>
      <c r="H1" s="29" t="s">
        <v>65</v>
      </c>
      <c r="I1" s="29" t="s">
        <v>66</v>
      </c>
      <c r="J1" s="29" t="s">
        <v>67</v>
      </c>
      <c r="K1" s="29" t="s">
        <v>68</v>
      </c>
      <c r="L1" s="30" t="s">
        <v>69</v>
      </c>
    </row>
    <row r="2" spans="1:12" ht="15.75" x14ac:dyDescent="0.25">
      <c r="A2" s="31" t="s">
        <v>71</v>
      </c>
      <c r="B2" s="106">
        <v>2023.4669799999999</v>
      </c>
      <c r="C2" s="107">
        <v>1.8050999999999999</v>
      </c>
      <c r="D2" s="107">
        <v>1.21</v>
      </c>
      <c r="E2" s="107">
        <v>0.80879999999999996</v>
      </c>
      <c r="F2" s="107">
        <v>0.53210000000000002</v>
      </c>
      <c r="G2" s="107">
        <v>0.27889999999999998</v>
      </c>
      <c r="H2" s="107">
        <v>0.156</v>
      </c>
      <c r="I2" s="107">
        <v>9.6000000000000002E-2</v>
      </c>
      <c r="J2" s="107">
        <v>6.1600000000000002E-2</v>
      </c>
      <c r="K2" s="107">
        <v>2.1000000000000001E-2</v>
      </c>
      <c r="L2" s="108">
        <v>2.1000000000000001E-2</v>
      </c>
    </row>
    <row r="3" spans="1:12" ht="15.75" x14ac:dyDescent="0.25">
      <c r="A3" s="31" t="s">
        <v>70</v>
      </c>
      <c r="B3" s="111">
        <v>2023.4669799999999</v>
      </c>
      <c r="C3" s="111">
        <v>5676.0272255979999</v>
      </c>
      <c r="D3" s="111">
        <v>12544.02016857158</v>
      </c>
      <c r="E3" s="111">
        <v>22689.623680912271</v>
      </c>
      <c r="F3" s="111">
        <v>34762.772441525689</v>
      </c>
      <c r="G3" s="111">
        <v>44458.109675467211</v>
      </c>
      <c r="H3" s="111">
        <v>51393.574784840093</v>
      </c>
      <c r="I3" s="111">
        <v>56327.357964184739</v>
      </c>
      <c r="J3" s="111">
        <v>59797.123214778519</v>
      </c>
      <c r="K3" s="111">
        <v>61052.862802288866</v>
      </c>
      <c r="L3" s="114">
        <v>62334.972921136934</v>
      </c>
    </row>
    <row r="4" spans="1:12" x14ac:dyDescent="0.2">
      <c r="A4" s="20"/>
      <c r="L4" s="22"/>
    </row>
    <row r="5" spans="1:12" ht="15.75" x14ac:dyDescent="0.25">
      <c r="A5" s="31" t="s">
        <v>72</v>
      </c>
      <c r="B5" s="32"/>
      <c r="C5" s="32"/>
      <c r="D5" s="32"/>
      <c r="E5" s="32"/>
      <c r="F5" s="32"/>
      <c r="G5" s="32"/>
      <c r="H5" s="32"/>
      <c r="I5" s="32"/>
      <c r="J5" s="32"/>
      <c r="K5" s="32"/>
      <c r="L5" s="33"/>
    </row>
    <row r="6" spans="1:12" ht="15.75" x14ac:dyDescent="0.25">
      <c r="A6" s="31" t="s">
        <v>128</v>
      </c>
      <c r="B6" s="32"/>
      <c r="C6" s="112">
        <v>2037.8159526147094</v>
      </c>
      <c r="D6" s="112">
        <v>4165.6287673897396</v>
      </c>
      <c r="E6" s="112">
        <v>7258.629177968005</v>
      </c>
      <c r="F6" s="112">
        <v>10916.599965823636</v>
      </c>
      <c r="G6" s="112">
        <v>13866.353017588513</v>
      </c>
      <c r="H6" s="112">
        <v>16012.3728327878</v>
      </c>
      <c r="I6" s="112">
        <v>17565.177041576469</v>
      </c>
      <c r="J6" s="112">
        <v>18694.100778679825</v>
      </c>
      <c r="K6" s="112">
        <v>19176.766960043893</v>
      </c>
      <c r="L6" s="115">
        <v>19678.966187377548</v>
      </c>
    </row>
    <row r="7" spans="1:12" x14ac:dyDescent="0.2">
      <c r="A7" s="20" t="s">
        <v>73</v>
      </c>
      <c r="C7" s="111">
        <v>1664.2111825453337</v>
      </c>
      <c r="D7" s="111">
        <v>3677.9067134251873</v>
      </c>
      <c r="E7" s="111">
        <v>6652.5976632434777</v>
      </c>
      <c r="F7" s="111">
        <v>10192.444879855331</v>
      </c>
      <c r="G7" s="111">
        <v>13035.117756846985</v>
      </c>
      <c r="H7" s="111">
        <v>15068.596126915116</v>
      </c>
      <c r="I7" s="111">
        <v>16515.181355098965</v>
      </c>
      <c r="J7" s="111">
        <v>17532.516526573061</v>
      </c>
      <c r="K7" s="111">
        <v>17900.699373631094</v>
      </c>
      <c r="L7" s="114">
        <v>18276.614060477346</v>
      </c>
    </row>
    <row r="8" spans="1:12" x14ac:dyDescent="0.2">
      <c r="A8" s="20" t="s">
        <v>76</v>
      </c>
      <c r="C8" s="111">
        <v>373.60477006937583</v>
      </c>
      <c r="D8" s="111">
        <v>487.72205396455257</v>
      </c>
      <c r="E8" s="111">
        <v>606.03151472452771</v>
      </c>
      <c r="F8" s="111">
        <v>724.15508596830432</v>
      </c>
      <c r="G8" s="111">
        <v>831.23526074152892</v>
      </c>
      <c r="H8" s="111">
        <v>943.77670587268483</v>
      </c>
      <c r="I8" s="111">
        <v>1049.9956864775054</v>
      </c>
      <c r="J8" s="111">
        <v>1161.5842521067641</v>
      </c>
      <c r="K8" s="111">
        <v>1276.0675864128004</v>
      </c>
      <c r="L8" s="114">
        <v>1402.3521269001999</v>
      </c>
    </row>
    <row r="9" spans="1:12" s="32" customFormat="1" ht="15.75" x14ac:dyDescent="0.25">
      <c r="A9" s="31" t="s">
        <v>129</v>
      </c>
      <c r="C9" s="113">
        <v>0.35902152537684739</v>
      </c>
      <c r="D9" s="113">
        <v>0.33208084102308094</v>
      </c>
      <c r="E9" s="113">
        <v>0.31990963270467782</v>
      </c>
      <c r="F9" s="113">
        <v>0.31403133867376087</v>
      </c>
      <c r="G9" s="113">
        <v>0.31189704462941253</v>
      </c>
      <c r="H9" s="113">
        <v>0.31156371005176853</v>
      </c>
      <c r="I9" s="113">
        <v>0.31184095395962186</v>
      </c>
      <c r="J9" s="113">
        <v>0.31262542031553259</v>
      </c>
      <c r="K9" s="113">
        <v>0.31410102786080912</v>
      </c>
      <c r="L9" s="116">
        <v>0.31569703595242404</v>
      </c>
    </row>
    <row r="10" spans="1:12" x14ac:dyDescent="0.2">
      <c r="A10" s="20"/>
      <c r="L10" s="22"/>
    </row>
    <row r="11" spans="1:12" ht="15.75" x14ac:dyDescent="0.25">
      <c r="A11" s="31" t="s">
        <v>80</v>
      </c>
      <c r="L11" s="22"/>
    </row>
    <row r="12" spans="1:12" x14ac:dyDescent="0.2">
      <c r="A12" s="20" t="s">
        <v>77</v>
      </c>
      <c r="C12" s="111">
        <v>162.13569839565565</v>
      </c>
      <c r="D12" s="111">
        <v>189.13939896345215</v>
      </c>
      <c r="E12" s="111">
        <v>216.46701588328759</v>
      </c>
      <c r="F12" s="111">
        <v>244.4487329249487</v>
      </c>
      <c r="G12" s="111">
        <v>272.64332755614583</v>
      </c>
      <c r="H12" s="111">
        <v>302.24694006219215</v>
      </c>
      <c r="I12" s="111">
        <v>334.06749791193971</v>
      </c>
      <c r="J12" s="111">
        <v>368.60606838605929</v>
      </c>
      <c r="K12" s="111">
        <v>405.89241523365115</v>
      </c>
      <c r="L12" s="114">
        <v>446.95046249661118</v>
      </c>
    </row>
    <row r="13" spans="1:12" x14ac:dyDescent="0.2">
      <c r="A13" s="20" t="s">
        <v>81</v>
      </c>
      <c r="C13" s="111">
        <v>14.59608885433388</v>
      </c>
      <c r="D13" s="111">
        <v>18.12834235708268</v>
      </c>
      <c r="E13" s="111">
        <v>21.060783016764372</v>
      </c>
      <c r="F13" s="111">
        <v>23.302071545408438</v>
      </c>
      <c r="G13" s="111">
        <v>24.601861096211319</v>
      </c>
      <c r="H13" s="111">
        <v>25.369439162413112</v>
      </c>
      <c r="I13" s="111">
        <v>25.856532394331442</v>
      </c>
      <c r="J13" s="111">
        <v>26.175084873429604</v>
      </c>
      <c r="K13" s="111">
        <v>26.285020229898013</v>
      </c>
      <c r="L13" s="114">
        <v>26.395417314863582</v>
      </c>
    </row>
    <row r="14" spans="1:12" x14ac:dyDescent="0.2">
      <c r="A14" s="20" t="s">
        <v>82</v>
      </c>
      <c r="C14" s="111">
        <v>193.64578998599998</v>
      </c>
      <c r="D14" s="111">
        <v>198.48693473564995</v>
      </c>
      <c r="E14" s="111">
        <v>203.44910810404119</v>
      </c>
      <c r="F14" s="111">
        <v>208.53533580664219</v>
      </c>
      <c r="G14" s="111">
        <v>213.74871920180823</v>
      </c>
      <c r="H14" s="111">
        <v>245.04153169295299</v>
      </c>
      <c r="I14" s="111">
        <v>251.1675699852768</v>
      </c>
      <c r="J14" s="111">
        <v>257.44675923490865</v>
      </c>
      <c r="K14" s="111">
        <v>263.88292821578136</v>
      </c>
      <c r="L14" s="114">
        <v>270.48000142117581</v>
      </c>
    </row>
    <row r="15" spans="1:12" x14ac:dyDescent="0.2">
      <c r="A15" s="20" t="s">
        <v>78</v>
      </c>
      <c r="C15" s="111">
        <v>28.053926895348752</v>
      </c>
      <c r="D15" s="111">
        <v>28.75527506773247</v>
      </c>
      <c r="E15" s="111">
        <v>29.474156944425772</v>
      </c>
      <c r="F15" s="111">
        <v>30.211010868036411</v>
      </c>
      <c r="G15" s="111">
        <v>30.966286139737317</v>
      </c>
      <c r="H15" s="111">
        <v>35.500989082040448</v>
      </c>
      <c r="I15" s="111">
        <v>36.388513809091464</v>
      </c>
      <c r="J15" s="111">
        <v>37.298226654318746</v>
      </c>
      <c r="K15" s="111">
        <v>38.230682320676706</v>
      </c>
      <c r="L15" s="114">
        <v>39.186449378693624</v>
      </c>
    </row>
    <row r="16" spans="1:12" x14ac:dyDescent="0.2">
      <c r="A16" s="20" t="s">
        <v>75</v>
      </c>
      <c r="C16" s="111">
        <v>194.45191859146877</v>
      </c>
      <c r="D16" s="111">
        <v>206.21625966625263</v>
      </c>
      <c r="E16" s="111">
        <v>214.55564520715586</v>
      </c>
      <c r="F16" s="111">
        <v>220.26389814789226</v>
      </c>
      <c r="G16" s="111">
        <v>223.33547820756462</v>
      </c>
      <c r="H16" s="111">
        <v>225.07749493758362</v>
      </c>
      <c r="I16" s="111">
        <v>226.15786691328404</v>
      </c>
      <c r="J16" s="111">
        <v>226.85443314337695</v>
      </c>
      <c r="K16" s="111">
        <v>227.09263029817751</v>
      </c>
      <c r="L16" s="114">
        <v>227.3310775599906</v>
      </c>
    </row>
    <row r="17" spans="1:12" s="32" customFormat="1" ht="15.75" x14ac:dyDescent="0.25">
      <c r="A17" s="31" t="s">
        <v>130</v>
      </c>
      <c r="C17" s="112">
        <v>592.88342272280704</v>
      </c>
      <c r="D17" s="112">
        <v>640.72621079016994</v>
      </c>
      <c r="E17" s="112">
        <v>685.0067091556748</v>
      </c>
      <c r="F17" s="112">
        <v>726.76104929292808</v>
      </c>
      <c r="G17" s="112">
        <v>765.29567220146748</v>
      </c>
      <c r="H17" s="112">
        <v>833.23639493718235</v>
      </c>
      <c r="I17" s="112">
        <v>873.63798101392342</v>
      </c>
      <c r="J17" s="112">
        <v>916.38057229209335</v>
      </c>
      <c r="K17" s="112">
        <v>961.38367629818481</v>
      </c>
      <c r="L17" s="115">
        <v>1010.3434081713348</v>
      </c>
    </row>
    <row r="18" spans="1:12" s="32" customFormat="1" ht="15.75" x14ac:dyDescent="0.25">
      <c r="A18" s="31" t="s">
        <v>129</v>
      </c>
      <c r="C18" s="113">
        <v>0.10445394272405795</v>
      </c>
      <c r="D18" s="113">
        <v>5.1078219117940964E-2</v>
      </c>
      <c r="E18" s="113">
        <v>3.0190307198965982E-2</v>
      </c>
      <c r="F18" s="113">
        <v>2.0906302870848683E-2</v>
      </c>
      <c r="G18" s="113">
        <v>1.7213859918649925E-2</v>
      </c>
      <c r="H18" s="113">
        <v>1.6212851478526993E-2</v>
      </c>
      <c r="I18" s="113">
        <v>1.5510011699277969E-2</v>
      </c>
      <c r="J18" s="113">
        <v>1.5324827065687585E-2</v>
      </c>
      <c r="K18" s="113">
        <v>1.5746741957236157E-2</v>
      </c>
      <c r="L18" s="116">
        <v>1.6208291442583449E-2</v>
      </c>
    </row>
    <row r="19" spans="1:12" x14ac:dyDescent="0.2">
      <c r="A19" s="20"/>
      <c r="L19" s="22"/>
    </row>
    <row r="20" spans="1:12" s="32" customFormat="1" ht="15.75" x14ac:dyDescent="0.25">
      <c r="A20" s="31" t="s">
        <v>83</v>
      </c>
      <c r="L20" s="33"/>
    </row>
    <row r="21" spans="1:12" x14ac:dyDescent="0.2">
      <c r="A21" s="20" t="s">
        <v>77</v>
      </c>
      <c r="C21" s="111">
        <v>421.28130421505807</v>
      </c>
      <c r="D21" s="111">
        <v>519.48197622758812</v>
      </c>
      <c r="E21" s="111">
        <v>617.64744631136307</v>
      </c>
      <c r="F21" s="111">
        <v>715.5637136225497</v>
      </c>
      <c r="G21" s="111">
        <v>809.07286415503097</v>
      </c>
      <c r="H21" s="111">
        <v>903.86384091943444</v>
      </c>
      <c r="I21" s="111">
        <v>1003.7950271714873</v>
      </c>
      <c r="J21" s="111">
        <v>1110.97624499275</v>
      </c>
      <c r="K21" s="111">
        <v>1224.6402246179582</v>
      </c>
      <c r="L21" s="114">
        <v>1349.9331659986217</v>
      </c>
    </row>
    <row r="22" spans="1:12" x14ac:dyDescent="0.2">
      <c r="A22" s="20" t="s">
        <v>84</v>
      </c>
      <c r="C22" s="111">
        <v>159.49636503930381</v>
      </c>
      <c r="D22" s="111">
        <v>352.4869667368614</v>
      </c>
      <c r="E22" s="111">
        <v>637.57842543363483</v>
      </c>
      <c r="F22" s="111">
        <v>976.83390560687189</v>
      </c>
      <c r="G22" s="111">
        <v>1249.2728818806286</v>
      </c>
      <c r="H22" s="111">
        <v>1444.1594514540066</v>
      </c>
      <c r="I22" s="111">
        <v>1582.7987587935911</v>
      </c>
      <c r="J22" s="111">
        <v>1680.2991623352764</v>
      </c>
      <c r="K22" s="111">
        <v>1715.5854447443171</v>
      </c>
      <c r="L22" s="114">
        <v>1751.6127390839479</v>
      </c>
    </row>
    <row r="23" spans="1:12" x14ac:dyDescent="0.2">
      <c r="A23" s="20" t="s">
        <v>85</v>
      </c>
      <c r="C23" s="111">
        <v>192.98492567033202</v>
      </c>
      <c r="D23" s="111">
        <v>426.49668573143373</v>
      </c>
      <c r="E23" s="111">
        <v>771.44720515101733</v>
      </c>
      <c r="F23" s="111">
        <v>1181.9342630118736</v>
      </c>
      <c r="G23" s="111">
        <v>1511.5757289658852</v>
      </c>
      <c r="H23" s="111">
        <v>1747.3815426845631</v>
      </c>
      <c r="I23" s="111">
        <v>1915.1301707822813</v>
      </c>
      <c r="J23" s="111">
        <v>2033.1021893024699</v>
      </c>
      <c r="K23" s="111">
        <v>2075.7973352778217</v>
      </c>
      <c r="L23" s="114">
        <v>2119.3890793186556</v>
      </c>
    </row>
    <row r="24" spans="1:12" x14ac:dyDescent="0.2">
      <c r="A24" s="20" t="s">
        <v>86</v>
      </c>
      <c r="C24" s="111">
        <v>61.88317062844348</v>
      </c>
      <c r="D24" s="111">
        <v>76.8588979205268</v>
      </c>
      <c r="E24" s="111">
        <v>89.29159324815123</v>
      </c>
      <c r="F24" s="111">
        <v>98.794004601619477</v>
      </c>
      <c r="G24" s="111">
        <v>104.30473417829782</v>
      </c>
      <c r="H24" s="111">
        <v>107.5590418846607</v>
      </c>
      <c r="I24" s="111">
        <v>109.62417548884621</v>
      </c>
      <c r="J24" s="111">
        <v>110.9747453308688</v>
      </c>
      <c r="K24" s="111">
        <v>111.44083926125845</v>
      </c>
      <c r="L24" s="114">
        <v>111.90889078615572</v>
      </c>
    </row>
    <row r="25" spans="1:12" x14ac:dyDescent="0.2">
      <c r="A25" s="20" t="s">
        <v>81</v>
      </c>
      <c r="C25" s="111">
        <v>96.650900299699998</v>
      </c>
      <c r="D25" s="111">
        <v>99.067172807192492</v>
      </c>
      <c r="E25" s="111">
        <v>101.54385212737229</v>
      </c>
      <c r="F25" s="111">
        <v>104.08244843055658</v>
      </c>
      <c r="G25" s="111">
        <v>106.68450964132049</v>
      </c>
      <c r="H25" s="111">
        <v>109.3516223823535</v>
      </c>
      <c r="I25" s="111">
        <v>112.08541294191232</v>
      </c>
      <c r="J25" s="111">
        <v>114.88754826546013</v>
      </c>
      <c r="K25" s="111">
        <v>117.7597369720966</v>
      </c>
      <c r="L25" s="114">
        <v>120.70373039639901</v>
      </c>
    </row>
    <row r="26" spans="1:12" x14ac:dyDescent="0.2">
      <c r="A26" s="20" t="s">
        <v>78</v>
      </c>
      <c r="C26" s="111">
        <v>42.074057920496251</v>
      </c>
      <c r="D26" s="111">
        <v>43.125909368508658</v>
      </c>
      <c r="E26" s="111">
        <v>44.204057102721357</v>
      </c>
      <c r="F26" s="111">
        <v>45.309158530289388</v>
      </c>
      <c r="G26" s="111">
        <v>46.441887493546616</v>
      </c>
      <c r="H26" s="111">
        <v>53.242837498101579</v>
      </c>
      <c r="I26" s="111">
        <v>54.573908435554117</v>
      </c>
      <c r="J26" s="111">
        <v>55.93825614644296</v>
      </c>
      <c r="K26" s="111">
        <v>57.336712550104032</v>
      </c>
      <c r="L26" s="114">
        <v>58.77013036385663</v>
      </c>
    </row>
    <row r="27" spans="1:12" x14ac:dyDescent="0.2">
      <c r="A27" s="20" t="s">
        <v>75</v>
      </c>
      <c r="C27" s="111">
        <v>1594.9636503930381</v>
      </c>
      <c r="D27" s="111">
        <v>3524.8696673686145</v>
      </c>
      <c r="E27" s="111">
        <v>6375.7842543363486</v>
      </c>
      <c r="F27" s="111">
        <v>9768.3390560687203</v>
      </c>
      <c r="G27" s="111">
        <v>12492.728818806287</v>
      </c>
      <c r="H27" s="111">
        <v>14441.594514540067</v>
      </c>
      <c r="I27" s="111">
        <v>15827.987587935913</v>
      </c>
      <c r="J27" s="111">
        <v>16802.991623352766</v>
      </c>
      <c r="K27" s="111">
        <v>17155.854447443173</v>
      </c>
      <c r="L27" s="114">
        <v>17516.12739083948</v>
      </c>
    </row>
    <row r="28" spans="1:12" s="32" customFormat="1" ht="15.75" x14ac:dyDescent="0.25">
      <c r="A28" s="31" t="s">
        <v>130</v>
      </c>
      <c r="C28" s="112">
        <v>2569.3343741663716</v>
      </c>
      <c r="D28" s="112">
        <v>5042.3872761607263</v>
      </c>
      <c r="E28" s="112">
        <v>8637.4968337106093</v>
      </c>
      <c r="F28" s="112">
        <v>12890.85654987248</v>
      </c>
      <c r="G28" s="112">
        <v>16320.081425120996</v>
      </c>
      <c r="H28" s="112">
        <v>18807.152851363186</v>
      </c>
      <c r="I28" s="112">
        <v>20605.995041549584</v>
      </c>
      <c r="J28" s="112">
        <v>21909.169769726035</v>
      </c>
      <c r="K28" s="112">
        <v>22458.414740866727</v>
      </c>
      <c r="L28" s="115">
        <v>23028.445126787119</v>
      </c>
    </row>
    <row r="29" spans="1:12" s="32" customFormat="1" ht="15.75" x14ac:dyDescent="0.25">
      <c r="A29" s="31" t="s">
        <v>129</v>
      </c>
      <c r="C29" s="113">
        <v>0.45266420896980081</v>
      </c>
      <c r="D29" s="113">
        <v>0.40197538017311046</v>
      </c>
      <c r="E29" s="113">
        <v>0.38068047999301702</v>
      </c>
      <c r="F29" s="113">
        <v>0.37082360365693312</v>
      </c>
      <c r="G29" s="113">
        <v>0.36708896406647523</v>
      </c>
      <c r="H29" s="113">
        <v>0.36594365988549327</v>
      </c>
      <c r="I29" s="113">
        <v>0.36582569796104636</v>
      </c>
      <c r="J29" s="113">
        <v>0.36639170234047824</v>
      </c>
      <c r="K29" s="113">
        <v>0.36785195173558288</v>
      </c>
      <c r="L29" s="116">
        <v>0.36943057881683133</v>
      </c>
    </row>
    <row r="30" spans="1:12" x14ac:dyDescent="0.2">
      <c r="A30" s="20"/>
      <c r="L30" s="22"/>
    </row>
    <row r="31" spans="1:12" s="32" customFormat="1" ht="15.75" x14ac:dyDescent="0.25">
      <c r="A31" s="31" t="s">
        <v>87</v>
      </c>
      <c r="C31" s="112">
        <v>3.0352004699999999</v>
      </c>
      <c r="D31" s="112">
        <v>3.0352004699999999</v>
      </c>
      <c r="E31" s="112">
        <v>3.0352004699999999</v>
      </c>
      <c r="F31" s="112">
        <v>3.0352004699999999</v>
      </c>
      <c r="G31" s="112">
        <v>3.0352004699999999</v>
      </c>
      <c r="H31" s="112">
        <v>3.0352004699999999</v>
      </c>
      <c r="I31" s="112">
        <v>3.0352004699999999</v>
      </c>
      <c r="J31" s="112">
        <v>3.0352004699999999</v>
      </c>
      <c r="K31" s="112">
        <v>3.0352004699999999</v>
      </c>
      <c r="L31" s="115">
        <v>3.0352004699999999</v>
      </c>
    </row>
    <row r="32" spans="1:12" s="32" customFormat="1" ht="15.75" x14ac:dyDescent="0.25">
      <c r="A32" s="31" t="s">
        <v>90</v>
      </c>
      <c r="C32" s="112">
        <v>10.2168490060764</v>
      </c>
      <c r="D32" s="112">
        <v>22.579236303428843</v>
      </c>
      <c r="E32" s="112">
        <v>40.841322625642093</v>
      </c>
      <c r="F32" s="112">
        <v>62.572990394746235</v>
      </c>
      <c r="G32" s="112">
        <v>80.024597415840972</v>
      </c>
      <c r="H32" s="112">
        <v>92.508434612712165</v>
      </c>
      <c r="I32" s="112">
        <v>101.38924433553252</v>
      </c>
      <c r="J32" s="112">
        <v>107.63482178660134</v>
      </c>
      <c r="K32" s="112">
        <v>109.89515304411995</v>
      </c>
      <c r="L32" s="115">
        <v>112.20295125804647</v>
      </c>
    </row>
    <row r="33" spans="1:12" s="32" customFormat="1" ht="15.75" x14ac:dyDescent="0.25">
      <c r="A33" s="31" t="s">
        <v>91</v>
      </c>
      <c r="C33" s="112">
        <v>28.380136127990003</v>
      </c>
      <c r="D33" s="112">
        <v>62.720100842857903</v>
      </c>
      <c r="E33" s="112">
        <v>113.44811840456136</v>
      </c>
      <c r="F33" s="112">
        <v>173.81386220762846</v>
      </c>
      <c r="G33" s="112">
        <v>222.29054837733602</v>
      </c>
      <c r="H33" s="112">
        <v>256.96787392420043</v>
      </c>
      <c r="I33" s="112">
        <v>281.6367898209237</v>
      </c>
      <c r="J33" s="112">
        <v>298.98561607389263</v>
      </c>
      <c r="K33" s="112">
        <v>305.26431401144436</v>
      </c>
      <c r="L33" s="115">
        <v>311.67486460568466</v>
      </c>
    </row>
    <row r="34" spans="1:12" s="32" customFormat="1" ht="15.75" x14ac:dyDescent="0.25">
      <c r="A34" s="31" t="s">
        <v>28</v>
      </c>
      <c r="C34" s="112">
        <v>21.668513236858619</v>
      </c>
      <c r="D34" s="112">
        <v>23.516003338518512</v>
      </c>
      <c r="E34" s="112">
        <v>24.90034568853789</v>
      </c>
      <c r="F34" s="112">
        <v>25.884749082624992</v>
      </c>
      <c r="G34" s="112">
        <v>26.428178734539404</v>
      </c>
      <c r="H34" s="112">
        <v>26.74061832279822</v>
      </c>
      <c r="I34" s="112">
        <v>26.93588825869708</v>
      </c>
      <c r="J34" s="112">
        <v>27.062389330370653</v>
      </c>
      <c r="K34" s="112">
        <v>27.105780347964433</v>
      </c>
      <c r="L34" s="115">
        <v>27.149262486695157</v>
      </c>
    </row>
    <row r="35" spans="1:12" s="32" customFormat="1" ht="15.75" x14ac:dyDescent="0.25">
      <c r="A35" s="31" t="s">
        <v>94</v>
      </c>
      <c r="C35" s="112">
        <v>0</v>
      </c>
      <c r="D35" s="112">
        <v>0</v>
      </c>
      <c r="E35" s="112">
        <v>0</v>
      </c>
      <c r="F35" s="112">
        <v>0</v>
      </c>
      <c r="G35" s="112">
        <v>0</v>
      </c>
      <c r="H35" s="112">
        <v>0</v>
      </c>
      <c r="I35" s="112">
        <v>0</v>
      </c>
      <c r="J35" s="112">
        <v>0</v>
      </c>
      <c r="K35" s="112">
        <v>0</v>
      </c>
      <c r="L35" s="115">
        <v>0</v>
      </c>
    </row>
    <row r="36" spans="1:12" x14ac:dyDescent="0.2">
      <c r="A36" s="20"/>
      <c r="L36" s="22"/>
    </row>
    <row r="37" spans="1:12" s="32" customFormat="1" ht="15.75" x14ac:dyDescent="0.25">
      <c r="A37" s="31" t="s">
        <v>95</v>
      </c>
      <c r="C37" s="112">
        <v>433.12647526533902</v>
      </c>
      <c r="D37" s="112">
        <v>2628.5858458829971</v>
      </c>
      <c r="E37" s="112">
        <v>6007.9486181405246</v>
      </c>
      <c r="F37" s="112">
        <v>10088.39405517114</v>
      </c>
      <c r="G37" s="112">
        <v>13334.650230390198</v>
      </c>
      <c r="H37" s="112">
        <v>15546.577447647642</v>
      </c>
      <c r="I37" s="112">
        <v>17072.329265830675</v>
      </c>
      <c r="J37" s="112">
        <v>18056.023709992904</v>
      </c>
      <c r="K37" s="112">
        <v>18230.787283294772</v>
      </c>
      <c r="L37" s="115">
        <v>18387.561822496602</v>
      </c>
    </row>
    <row r="38" spans="1:12" x14ac:dyDescent="0.2">
      <c r="A38" s="20"/>
      <c r="C38" s="111"/>
      <c r="D38" s="111"/>
      <c r="E38" s="111"/>
      <c r="F38" s="111"/>
      <c r="G38" s="111"/>
      <c r="H38" s="111"/>
      <c r="I38" s="111"/>
      <c r="J38" s="111"/>
      <c r="K38" s="111"/>
      <c r="L38" s="114"/>
    </row>
    <row r="39" spans="1:12" x14ac:dyDescent="0.2">
      <c r="A39" s="20" t="s">
        <v>96</v>
      </c>
      <c r="C39" s="111">
        <v>0</v>
      </c>
      <c r="D39" s="111">
        <v>0</v>
      </c>
      <c r="E39" s="111">
        <v>0</v>
      </c>
      <c r="F39" s="111">
        <v>0</v>
      </c>
      <c r="G39" s="111">
        <v>0</v>
      </c>
      <c r="H39" s="111">
        <v>0</v>
      </c>
      <c r="I39" s="111">
        <v>0</v>
      </c>
      <c r="J39" s="111">
        <v>0</v>
      </c>
      <c r="K39" s="111">
        <v>0</v>
      </c>
      <c r="L39" s="114">
        <v>0</v>
      </c>
    </row>
    <row r="40" spans="1:12" x14ac:dyDescent="0.2">
      <c r="A40" s="20" t="s">
        <v>97</v>
      </c>
      <c r="C40" s="111">
        <v>0</v>
      </c>
      <c r="D40" s="111">
        <v>0</v>
      </c>
      <c r="E40" s="111">
        <v>0</v>
      </c>
      <c r="F40" s="111">
        <v>0</v>
      </c>
      <c r="G40" s="111">
        <v>0</v>
      </c>
      <c r="H40" s="111">
        <v>0</v>
      </c>
      <c r="I40" s="111">
        <v>0</v>
      </c>
      <c r="J40" s="111">
        <v>0</v>
      </c>
      <c r="K40" s="111">
        <v>0</v>
      </c>
      <c r="L40" s="114">
        <v>0</v>
      </c>
    </row>
    <row r="41" spans="1:12" x14ac:dyDescent="0.2">
      <c r="A41" s="20" t="s">
        <v>98</v>
      </c>
      <c r="C41" s="111">
        <v>0</v>
      </c>
      <c r="D41" s="111">
        <v>0</v>
      </c>
      <c r="E41" s="111">
        <v>0</v>
      </c>
      <c r="F41" s="111">
        <v>0</v>
      </c>
      <c r="G41" s="111">
        <v>0</v>
      </c>
      <c r="H41" s="111">
        <v>0</v>
      </c>
      <c r="I41" s="111">
        <v>0</v>
      </c>
      <c r="J41" s="111">
        <v>0</v>
      </c>
      <c r="K41" s="111">
        <v>0</v>
      </c>
      <c r="L41" s="114">
        <v>0</v>
      </c>
    </row>
    <row r="42" spans="1:12" x14ac:dyDescent="0.2">
      <c r="A42" s="20"/>
      <c r="C42" s="111"/>
      <c r="D42" s="111"/>
      <c r="E42" s="111"/>
      <c r="F42" s="111"/>
      <c r="G42" s="111"/>
      <c r="H42" s="111"/>
      <c r="I42" s="111"/>
      <c r="J42" s="111"/>
      <c r="K42" s="111"/>
      <c r="L42" s="114"/>
    </row>
    <row r="43" spans="1:12" s="32" customFormat="1" ht="15.75" x14ac:dyDescent="0.25">
      <c r="A43" s="34" t="s">
        <v>99</v>
      </c>
      <c r="B43" s="35"/>
      <c r="C43" s="117">
        <v>433.12647526533902</v>
      </c>
      <c r="D43" s="117">
        <v>2628.5858458829971</v>
      </c>
      <c r="E43" s="117">
        <v>6007.9486181405246</v>
      </c>
      <c r="F43" s="117">
        <v>10088.39405517114</v>
      </c>
      <c r="G43" s="117">
        <v>13334.650230390198</v>
      </c>
      <c r="H43" s="117">
        <v>15546.577447647642</v>
      </c>
      <c r="I43" s="117">
        <v>17072.329265830675</v>
      </c>
      <c r="J43" s="117">
        <v>18056.023709992904</v>
      </c>
      <c r="K43" s="117">
        <v>18230.787283294772</v>
      </c>
      <c r="L43" s="118">
        <v>18387.561822496602</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21</vt:i4>
      </vt:variant>
      <vt:variant>
        <vt:lpstr>Intervalos nomeados</vt:lpstr>
      </vt:variant>
      <vt:variant>
        <vt:i4>2</vt:i4>
      </vt:variant>
    </vt:vector>
  </HeadingPairs>
  <TitlesOfParts>
    <vt:vector size="23" baseType="lpstr">
      <vt:lpstr>Balanço Patrimonial</vt:lpstr>
      <vt:lpstr>DRE</vt:lpstr>
      <vt:lpstr>Questionário</vt:lpstr>
      <vt:lpstr>Demonstrativos Ajustados</vt:lpstr>
      <vt:lpstr>Projeção DRE</vt:lpstr>
      <vt:lpstr>Projeção NCG</vt:lpstr>
      <vt:lpstr>Projeção Imobilizado</vt:lpstr>
      <vt:lpstr>Proj. FC</vt:lpstr>
      <vt:lpstr>DRE Proj Comlpleta</vt:lpstr>
      <vt:lpstr>Q8</vt:lpstr>
      <vt:lpstr>Q9</vt:lpstr>
      <vt:lpstr>Q10</vt:lpstr>
      <vt:lpstr>Q11</vt:lpstr>
      <vt:lpstr>Q12</vt:lpstr>
      <vt:lpstr>Q13</vt:lpstr>
      <vt:lpstr>Q14</vt:lpstr>
      <vt:lpstr>Q15</vt:lpstr>
      <vt:lpstr>Q16</vt:lpstr>
      <vt:lpstr>Q17</vt:lpstr>
      <vt:lpstr>Q18</vt:lpstr>
      <vt:lpstr>Q19</vt:lpstr>
      <vt:lpstr>Questionário!_GoBack</vt:lpstr>
      <vt:lpstr>Questionário!Area_de_impressao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2010 Hack</dc:creator>
  <cp:lastModifiedBy>Juno</cp:lastModifiedBy>
  <dcterms:created xsi:type="dcterms:W3CDTF">2013-05-01T01:37:48Z</dcterms:created>
  <dcterms:modified xsi:type="dcterms:W3CDTF">2014-07-13T00:25:30Z</dcterms:modified>
</cp:coreProperties>
</file>